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221"/>
  <workbookPr showInkAnnotation="0" autoCompressPictures="0"/>
  <bookViews>
    <workbookView xWindow="240" yWindow="20" windowWidth="21480" windowHeight="15640" tabRatio="677" activeTab="1"/>
  </bookViews>
  <sheets>
    <sheet name="Instructions" sheetId="9" r:id="rId1"/>
    <sheet name="Gas vs. EV" sheetId="7" r:id="rId2"/>
    <sheet name="Baseline Data" sheetId="8" r:id="rId3"/>
  </sheets>
  <definedNames>
    <definedName name="OLE_LINK1" localSheetId="2">'Baseline Data'!#REF!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87" i="7" l="1"/>
  <c r="H20" i="7"/>
  <c r="H67" i="7"/>
  <c r="H68" i="7"/>
  <c r="H69" i="7"/>
  <c r="H70" i="7"/>
  <c r="C23" i="8"/>
  <c r="C21" i="8"/>
  <c r="C8" i="8"/>
  <c r="G67" i="7"/>
  <c r="G68" i="7"/>
  <c r="G69" i="7"/>
  <c r="G70" i="7"/>
  <c r="G73" i="7"/>
  <c r="H19" i="7"/>
  <c r="A42" i="7"/>
  <c r="I4" i="7"/>
  <c r="I5" i="7"/>
  <c r="K6" i="7"/>
  <c r="G6" i="7"/>
  <c r="D38" i="7"/>
  <c r="C37" i="7"/>
  <c r="C39" i="7"/>
  <c r="C40" i="7"/>
  <c r="C41" i="7"/>
  <c r="C36" i="7"/>
  <c r="H17" i="7"/>
  <c r="G13" i="7"/>
  <c r="G15" i="7"/>
  <c r="G18" i="7"/>
  <c r="I6" i="7"/>
  <c r="J6" i="7"/>
  <c r="H15" i="7"/>
  <c r="C50" i="7"/>
  <c r="B50" i="7"/>
  <c r="D50" i="7"/>
  <c r="H47" i="7"/>
  <c r="D39" i="7"/>
  <c r="D40" i="7"/>
  <c r="D41" i="7"/>
  <c r="H9" i="7"/>
  <c r="D43" i="7"/>
  <c r="G9" i="7"/>
  <c r="C43" i="7"/>
  <c r="C44" i="7"/>
  <c r="G47" i="7"/>
  <c r="D37" i="7"/>
  <c r="G14" i="7"/>
  <c r="G16" i="7"/>
  <c r="G49" i="7"/>
  <c r="G66" i="7"/>
  <c r="G17" i="7"/>
  <c r="H3" i="7"/>
  <c r="G3" i="7"/>
  <c r="H5" i="7"/>
  <c r="H66" i="7"/>
  <c r="H49" i="7"/>
  <c r="C24" i="8"/>
  <c r="B51" i="7"/>
  <c r="B52" i="7"/>
  <c r="B53" i="7"/>
  <c r="D53" i="7"/>
  <c r="G19" i="7"/>
  <c r="G21" i="7"/>
  <c r="I59" i="7"/>
  <c r="I55" i="7"/>
  <c r="I51" i="7"/>
  <c r="G37" i="7"/>
  <c r="I58" i="7"/>
  <c r="I50" i="7"/>
  <c r="G36" i="7"/>
  <c r="D51" i="7"/>
  <c r="I57" i="7"/>
  <c r="I53" i="7"/>
  <c r="H38" i="7"/>
  <c r="G40" i="7"/>
  <c r="I56" i="7"/>
  <c r="I52" i="7"/>
  <c r="B42" i="7"/>
  <c r="J33" i="7"/>
  <c r="G39" i="7"/>
  <c r="H6" i="7"/>
  <c r="H31" i="7"/>
  <c r="C29" i="8"/>
  <c r="D52" i="7"/>
  <c r="G31" i="7"/>
  <c r="C28" i="8"/>
  <c r="I54" i="7"/>
  <c r="G41" i="7"/>
  <c r="D42" i="7"/>
  <c r="D44" i="7"/>
  <c r="B54" i="7"/>
  <c r="E50" i="7"/>
  <c r="K50" i="7"/>
  <c r="C51" i="7"/>
  <c r="L39" i="7"/>
  <c r="L42" i="7"/>
  <c r="L37" i="7"/>
  <c r="L40" i="7"/>
  <c r="L36" i="7"/>
  <c r="L38" i="7"/>
  <c r="L41" i="7"/>
  <c r="B55" i="7"/>
  <c r="D54" i="7"/>
  <c r="H42" i="7"/>
  <c r="G44" i="7"/>
  <c r="G22" i="7"/>
  <c r="G20" i="7"/>
  <c r="G23" i="7"/>
  <c r="E51" i="7"/>
  <c r="K51" i="7"/>
  <c r="C52" i="7"/>
  <c r="E52" i="7"/>
  <c r="K52" i="7"/>
  <c r="D55" i="7"/>
  <c r="B56" i="7"/>
  <c r="B57" i="7"/>
  <c r="D56" i="7"/>
  <c r="D57" i="7"/>
  <c r="B58" i="7"/>
  <c r="B59" i="7"/>
  <c r="D59" i="7"/>
  <c r="D58" i="7"/>
  <c r="C53" i="7"/>
  <c r="C54" i="7"/>
  <c r="E54" i="7"/>
  <c r="K54" i="7"/>
  <c r="G50" i="7"/>
  <c r="G51" i="7"/>
  <c r="G52" i="7"/>
  <c r="I9" i="7"/>
  <c r="A50" i="7"/>
  <c r="H21" i="7"/>
  <c r="C55" i="7"/>
  <c r="C56" i="7"/>
  <c r="E53" i="7"/>
  <c r="K53" i="7"/>
  <c r="E55" i="7"/>
  <c r="K55" i="7"/>
  <c r="G53" i="7"/>
  <c r="G54" i="7"/>
  <c r="A51" i="7"/>
  <c r="A52" i="7"/>
  <c r="A53" i="7"/>
  <c r="A54" i="7"/>
  <c r="A55" i="7"/>
  <c r="A56" i="7"/>
  <c r="A57" i="7"/>
  <c r="A58" i="7"/>
  <c r="A59" i="7"/>
  <c r="H22" i="7"/>
  <c r="H71" i="7"/>
  <c r="H23" i="7"/>
  <c r="C27" i="8"/>
  <c r="H35" i="7"/>
  <c r="H44" i="7"/>
  <c r="H50" i="7"/>
  <c r="H51" i="7"/>
  <c r="H52" i="7"/>
  <c r="H53" i="7"/>
  <c r="H54" i="7"/>
  <c r="H55" i="7"/>
  <c r="H56" i="7"/>
  <c r="H57" i="7"/>
  <c r="H58" i="7"/>
  <c r="H59" i="7"/>
  <c r="G55" i="7"/>
  <c r="E56" i="7"/>
  <c r="K56" i="7"/>
  <c r="C57" i="7"/>
  <c r="C58" i="7"/>
  <c r="E57" i="7"/>
  <c r="K57" i="7"/>
  <c r="G56" i="7"/>
  <c r="G57" i="7"/>
  <c r="E58" i="7"/>
  <c r="K58" i="7"/>
  <c r="C59" i="7"/>
  <c r="E59" i="7"/>
  <c r="K59" i="7"/>
  <c r="K60" i="7"/>
  <c r="H72" i="7"/>
  <c r="H73" i="7"/>
  <c r="G58" i="7"/>
  <c r="G59" i="7"/>
</calcChain>
</file>

<file path=xl/sharedStrings.xml><?xml version="1.0" encoding="utf-8"?>
<sst xmlns="http://schemas.openxmlformats.org/spreadsheetml/2006/main" count="213" uniqueCount="187">
  <si>
    <t>The Estimated Battery Pack Life in Years</t>
  </si>
  <si>
    <t>Miles</t>
  </si>
  <si>
    <t>Cost/Mile</t>
  </si>
  <si>
    <t>Oil Changes</t>
  </si>
  <si>
    <t>Tune-Ups</t>
  </si>
  <si>
    <t>Regulation Income</t>
  </si>
  <si>
    <t>Ten-Year Analysis:</t>
  </si>
  <si>
    <t>Year</t>
  </si>
  <si>
    <t>Gas / Gal.</t>
  </si>
  <si>
    <t>Vehicle Cost:</t>
  </si>
  <si>
    <t>Notes:</t>
  </si>
  <si>
    <t>Cash Flow Analysis:</t>
  </si>
  <si>
    <t>n/a</t>
  </si>
  <si>
    <r>
      <t xml:space="preserve">The Average </t>
    </r>
    <r>
      <rPr>
        <b/>
        <sz val="10"/>
        <rFont val="Arial"/>
        <family val="2"/>
      </rPr>
      <t>Miles Driven</t>
    </r>
    <r>
      <rPr>
        <sz val="10"/>
        <rFont val="Arial"/>
      </rPr>
      <t xml:space="preserve"> /Year</t>
    </r>
  </si>
  <si>
    <t>For EVs only</t>
  </si>
  <si>
    <t>Range in miles:</t>
  </si>
  <si>
    <t>Accum.</t>
  </si>
  <si>
    <r>
      <t xml:space="preserve">The Average Annual </t>
    </r>
    <r>
      <rPr>
        <b/>
        <sz val="10"/>
        <rFont val="Arial"/>
        <family val="2"/>
      </rPr>
      <t>Energy</t>
    </r>
    <r>
      <rPr>
        <sz val="10"/>
        <rFont val="Arial"/>
      </rPr>
      <t xml:space="preserve"> </t>
    </r>
    <r>
      <rPr>
        <b/>
        <sz val="10"/>
        <rFont val="Arial"/>
        <family val="2"/>
      </rPr>
      <t>Inflation Rate</t>
    </r>
  </si>
  <si>
    <t>TOTAL COST PER MILE:</t>
  </si>
  <si>
    <t>1) Green shading indicates break even point (EV has lower accumulated total cost than Gas powered).</t>
  </si>
  <si>
    <t>Regulation:</t>
  </si>
  <si>
    <t>(Inflation Adjusted $$$)</t>
  </si>
  <si>
    <r>
      <t xml:space="preserve">Calculated </t>
    </r>
    <r>
      <rPr>
        <b/>
        <sz val="10"/>
        <rFont val="Arial"/>
        <family val="2"/>
      </rPr>
      <t xml:space="preserve">Fuel </t>
    </r>
    <r>
      <rPr>
        <sz val="10"/>
        <rFont val="Arial"/>
      </rPr>
      <t>Cost / Mile</t>
    </r>
  </si>
  <si>
    <r>
      <t xml:space="preserve">The Average </t>
    </r>
    <r>
      <rPr>
        <b/>
        <sz val="10"/>
        <rFont val="Arial"/>
        <family val="2"/>
      </rPr>
      <t>Price per Gallon</t>
    </r>
    <r>
      <rPr>
        <sz val="10"/>
        <rFont val="Arial"/>
      </rPr>
      <t xml:space="preserve"> of Gasoline</t>
    </r>
    <r>
      <rPr>
        <vertAlign val="superscript"/>
        <sz val="10"/>
        <rFont val="Arial"/>
        <family val="2"/>
      </rPr>
      <t>1</t>
    </r>
  </si>
  <si>
    <t>3) This analysis does not include Insurance savings for a range and top speed-limited vehicle that is less likely stolen.</t>
  </si>
  <si>
    <t>Weekly:</t>
  </si>
  <si>
    <t>Daily:</t>
  </si>
  <si>
    <r>
      <t>The Average Hours the EV will be Plugged in Per Day</t>
    </r>
    <r>
      <rPr>
        <vertAlign val="superscript"/>
        <sz val="10"/>
        <rFont val="Arial"/>
        <family val="2"/>
      </rPr>
      <t>3</t>
    </r>
  </si>
  <si>
    <t>The AC Propulsion Controller/Charger allows recharging to take place while providing Regulation Up and Down Services</t>
  </si>
  <si>
    <t>(Down payment 5%)</t>
  </si>
  <si>
    <t>Net Loan (less 5% down):</t>
  </si>
  <si>
    <t>Elect. / kWh</t>
  </si>
  <si>
    <t>Gasoline Powered</t>
  </si>
  <si>
    <t>Electric:</t>
  </si>
  <si>
    <t>Gas Powered:</t>
  </si>
  <si>
    <t>Electric Powered</t>
  </si>
  <si>
    <t>Estimated Retail Total Delivered Cost:</t>
  </si>
  <si>
    <t>Average</t>
  </si>
  <si>
    <t>$ / MWH:</t>
  </si>
  <si>
    <t>Est. Cost</t>
  </si>
  <si>
    <t>Per Service:</t>
  </si>
  <si>
    <t>Gas</t>
  </si>
  <si>
    <t>Electric</t>
  </si>
  <si>
    <t>Cost/Mile:</t>
  </si>
  <si>
    <t xml:space="preserve">Maintenance Costs per Mile: </t>
  </si>
  <si>
    <r>
      <t>6</t>
    </r>
    <r>
      <rPr>
        <sz val="10"/>
        <rFont val="Arial"/>
        <family val="2"/>
      </rPr>
      <t xml:space="preserve"> Due to regenerative braking in EV, longer brake life.</t>
    </r>
  </si>
  <si>
    <t>Fuel per mile from above:</t>
  </si>
  <si>
    <t>Transmission</t>
  </si>
  <si>
    <t>Belts, Hoses, etc.</t>
  </si>
  <si>
    <t>Batteries</t>
  </si>
  <si>
    <t>none</t>
  </si>
  <si>
    <t>Brakes (Gas)</t>
  </si>
  <si>
    <r>
      <t>Brakes (EV)</t>
    </r>
    <r>
      <rPr>
        <vertAlign val="superscript"/>
        <sz val="9"/>
        <rFont val="Arial"/>
        <family val="2"/>
      </rPr>
      <t>6</t>
    </r>
  </si>
  <si>
    <t>see below</t>
  </si>
  <si>
    <t>Fuel costs</t>
  </si>
  <si>
    <r>
      <t>Brakes (EV)</t>
    </r>
    <r>
      <rPr>
        <vertAlign val="superscript"/>
        <sz val="10"/>
        <rFont val="Arial"/>
        <family val="2"/>
      </rPr>
      <t>6</t>
    </r>
  </si>
  <si>
    <t xml:space="preserve">Note: 200 watt hour/mile is the equivalent of 172.45 MPG per DOE.  </t>
  </si>
  <si>
    <r>
      <t xml:space="preserve">Gas-powered vehicle </t>
    </r>
    <r>
      <rPr>
        <i/>
        <sz val="10"/>
        <rFont val="Arial"/>
        <family val="2"/>
      </rPr>
      <t>average</t>
    </r>
    <r>
      <rPr>
        <sz val="10"/>
        <rFont val="Arial"/>
      </rPr>
      <t xml:space="preserve"> MPG:</t>
    </r>
  </si>
  <si>
    <t>Electric cost:</t>
  </si>
  <si>
    <t>Gasoline cost:</t>
  </si>
  <si>
    <t>Cash saved / year</t>
  </si>
  <si>
    <t>Electric to Gas:</t>
  </si>
  <si>
    <r>
      <t>7</t>
    </r>
    <r>
      <rPr>
        <sz val="10"/>
        <rFont val="Arial"/>
        <family val="2"/>
      </rPr>
      <t xml:space="preserve"> Calculated using the 10-year average inflation rate-adjusted Regulation rates above.</t>
    </r>
  </si>
  <si>
    <t>Instructions on the use of the Electric vs. Gas Vehicle comparison Excel worksheet</t>
  </si>
  <si>
    <t>updated by Len Beck with the assistance from many others including Dr. Willett Kempton</t>
  </si>
  <si>
    <t>Background:</t>
  </si>
  <si>
    <t>Operation:</t>
  </si>
  <si>
    <t>This worksheet is designed to be used as an analysis tool for individuals or organizations to</t>
  </si>
  <si>
    <t>with vehicle-to-grid (V2G) technology.</t>
  </si>
  <si>
    <t>a 'second car' in a multi-car family.  It is assumed that the other vehicles will be driven when</t>
  </si>
  <si>
    <t>The blue cells in the worksheet contain baseline data that is believed to be representative of the</t>
  </si>
  <si>
    <t>learn the potential results of replacing gas-powered vehicles with all-electric vehicles equipped</t>
  </si>
  <si>
    <t>See the third tab for the source of the baseline data.</t>
  </si>
  <si>
    <t>TOPIC:</t>
  </si>
  <si>
    <t>DATA:</t>
  </si>
  <si>
    <t>BASELINE DATA EXPLANATIONS:</t>
  </si>
  <si>
    <t>Estimated Retail Total Delivered Cost (gas-powered):</t>
  </si>
  <si>
    <t>Estimated Retail Total Delivered Cost (electric-powered):</t>
  </si>
  <si>
    <t>Range in miles (gas-powered):</t>
  </si>
  <si>
    <t>Range in miles (electric-powered):</t>
  </si>
  <si>
    <t>288 miles</t>
  </si>
  <si>
    <r>
      <t xml:space="preserve">Gas-powered vehicle </t>
    </r>
    <r>
      <rPr>
        <i/>
        <sz val="12"/>
        <rFont val="Arial"/>
        <family val="2"/>
      </rPr>
      <t>average</t>
    </r>
    <r>
      <rPr>
        <sz val="12"/>
        <rFont val="Arial"/>
      </rPr>
      <t xml:space="preserve"> MPG:</t>
    </r>
  </si>
  <si>
    <r>
      <t xml:space="preserve">The Average </t>
    </r>
    <r>
      <rPr>
        <b/>
        <sz val="12"/>
        <rFont val="Arial"/>
        <family val="2"/>
      </rPr>
      <t>Miles Driven</t>
    </r>
    <r>
      <rPr>
        <sz val="12"/>
        <rFont val="Arial"/>
      </rPr>
      <t xml:space="preserve"> /Year</t>
    </r>
  </si>
  <si>
    <r>
      <t xml:space="preserve">The Average Annual </t>
    </r>
    <r>
      <rPr>
        <b/>
        <sz val="12"/>
        <rFont val="Arial"/>
        <family val="2"/>
      </rPr>
      <t>Energy</t>
    </r>
    <r>
      <rPr>
        <sz val="12"/>
        <rFont val="Arial"/>
      </rPr>
      <t xml:space="preserve"> </t>
    </r>
    <r>
      <rPr>
        <b/>
        <sz val="12"/>
        <rFont val="Arial"/>
        <family val="2"/>
      </rPr>
      <t>Inflation Rate</t>
    </r>
  </si>
  <si>
    <r>
      <t>The Average Hours the EV will be Plugged in Per Day</t>
    </r>
    <r>
      <rPr>
        <vertAlign val="superscript"/>
        <sz val="12"/>
        <rFont val="Arial"/>
        <family val="2"/>
      </rPr>
      <t>3</t>
    </r>
  </si>
  <si>
    <t>Row No.:</t>
  </si>
  <si>
    <t>Vehicle manufacturer estimated city driving efficiency.</t>
  </si>
  <si>
    <t>The Average Miles Driven per day</t>
  </si>
  <si>
    <t>Based on the EPA's Greenhouse Gas Emissions and miles driven report 2-2005.</t>
  </si>
  <si>
    <t xml:space="preserve">X 52 weeks </t>
  </si>
  <si>
    <t>Days:</t>
  </si>
  <si>
    <t>Year:</t>
  </si>
  <si>
    <t>Based on a 364-day year for formula simplicity purposes (365 days = 12,775 miles)</t>
  </si>
  <si>
    <r>
      <t xml:space="preserve">The Average </t>
    </r>
    <r>
      <rPr>
        <b/>
        <sz val="12"/>
        <rFont val="Arial"/>
        <family val="2"/>
      </rPr>
      <t>Price per Gallon</t>
    </r>
    <r>
      <rPr>
        <sz val="12"/>
        <rFont val="Arial"/>
      </rPr>
      <t xml:space="preserve"> of Gasoline</t>
    </r>
  </si>
  <si>
    <t>$ 0.087 per kWh used as an estimated off-peak rate for overnight recharging, 75% of $0.11556/kWh, the actual winter national average for 2008.</t>
  </si>
  <si>
    <t>Estimated -</t>
  </si>
  <si>
    <r>
      <t xml:space="preserve">Calculated </t>
    </r>
    <r>
      <rPr>
        <b/>
        <sz val="12"/>
        <rFont val="Arial"/>
        <family val="2"/>
      </rPr>
      <t xml:space="preserve">Fuel </t>
    </r>
    <r>
      <rPr>
        <sz val="12"/>
        <rFont val="Arial"/>
      </rPr>
      <t>Cost / Mile (Gasoline):</t>
    </r>
  </si>
  <si>
    <r>
      <t xml:space="preserve">Calculated </t>
    </r>
    <r>
      <rPr>
        <b/>
        <sz val="12"/>
        <rFont val="Arial"/>
        <family val="2"/>
      </rPr>
      <t xml:space="preserve">Fuel </t>
    </r>
    <r>
      <rPr>
        <sz val="12"/>
        <rFont val="Arial"/>
      </rPr>
      <t>Cost / Mile (Electric):</t>
    </r>
  </si>
  <si>
    <r>
      <t>The Estimated Watt Hour/Mile (Wh/mile)</t>
    </r>
    <r>
      <rPr>
        <vertAlign val="superscript"/>
        <sz val="12"/>
        <rFont val="Arial"/>
        <family val="2"/>
      </rPr>
      <t>4:</t>
    </r>
  </si>
  <si>
    <t>Several O.E.M. including General Motors and BYD are suggesting greater than or equal to 10 year battery pack life as the goal.</t>
  </si>
  <si>
    <t>Current rating for the eBox battery pack.</t>
  </si>
  <si>
    <t xml:space="preserve">The eBox rating is 250 wh/mile.  The 275 rate allows for 9% recharging losses. </t>
  </si>
  <si>
    <t>The Average Miles Driven per day (based on details to right):</t>
  </si>
  <si>
    <t xml:space="preserve">  EV-to-Gas cost ratio</t>
  </si>
  <si>
    <t>Hour-by-hour rates available at: http://www.pjm.com/markets-and-operations/market-settlements/preliminary-billing-reports/pjm-reg-data.aspx</t>
  </si>
  <si>
    <t>Estimated Aggregator Service Fee Per Year (33%):</t>
  </si>
  <si>
    <r>
      <t xml:space="preserve">Tons </t>
    </r>
    <r>
      <rPr>
        <b/>
        <sz val="10"/>
        <rFont val="Arial"/>
        <family val="2"/>
      </rPr>
      <t>per year</t>
    </r>
  </si>
  <si>
    <t>Green House Gases Emissions:</t>
  </si>
  <si>
    <r>
      <t xml:space="preserve">Regulation Service Rate </t>
    </r>
    <r>
      <rPr>
        <b/>
        <sz val="10"/>
        <rFont val="Arial"/>
        <family val="2"/>
      </rPr>
      <t>per Mega</t>
    </r>
    <r>
      <rPr>
        <sz val="10"/>
        <rFont val="Arial"/>
      </rPr>
      <t xml:space="preserve"> </t>
    </r>
    <r>
      <rPr>
        <b/>
        <sz val="10"/>
        <rFont val="Arial"/>
        <family val="2"/>
      </rPr>
      <t>Watt-hour</t>
    </r>
    <r>
      <rPr>
        <vertAlign val="superscript"/>
        <sz val="10"/>
        <rFont val="Arial"/>
        <family val="2"/>
      </rPr>
      <t>5</t>
    </r>
  </si>
  <si>
    <t>Weekday</t>
  </si>
  <si>
    <t>Weekend</t>
  </si>
  <si>
    <t xml:space="preserve">Maintenance Costs per Year based on: </t>
  </si>
  <si>
    <t>miles / year:</t>
  </si>
  <si>
    <t>Costs:</t>
  </si>
  <si>
    <t>Lifetime</t>
  </si>
  <si>
    <t xml:space="preserve"> PER YEAR</t>
  </si>
  <si>
    <t>Battery Pack (10% / year)</t>
  </si>
  <si>
    <t>10-Year Gas-Powered to Electric-Powered Car Analysis:</t>
  </si>
  <si>
    <r>
      <t xml:space="preserve">2) </t>
    </r>
    <r>
      <rPr>
        <b/>
        <sz val="10"/>
        <rFont val="Arial"/>
        <family val="2"/>
      </rPr>
      <t>Maintenance Costs</t>
    </r>
    <r>
      <rPr>
        <sz val="10"/>
        <rFont val="Arial"/>
      </rPr>
      <t xml:space="preserve"> do not include a major gas engine repair or replacement over the ten-year life.</t>
    </r>
  </si>
  <si>
    <t>4) See the attached pages for instructions and additional notes related to the baseline assumptions.</t>
  </si>
  <si>
    <r>
      <t>V2G Income</t>
    </r>
    <r>
      <rPr>
        <vertAlign val="superscript"/>
        <sz val="10"/>
        <rFont val="Arial"/>
        <family val="2"/>
      </rPr>
      <t>7</t>
    </r>
    <r>
      <rPr>
        <sz val="10"/>
        <rFont val="Arial"/>
      </rPr>
      <t>:</t>
    </r>
  </si>
  <si>
    <t>'typical' or average American driver's situation that will use a VG car for local commuting only; as</t>
  </si>
  <si>
    <t>the alternative means of transportation.</t>
  </si>
  <si>
    <t>Toyota Scion xB Retail price including delivery and related taxes and costs.</t>
  </si>
  <si>
    <t>Estimated Scion xB converted to eBox converted in moderate volumes.</t>
  </si>
  <si>
    <t xml:space="preserve">Based on 12 gallon tank and an average of 24 miles per gallon. </t>
  </si>
  <si>
    <t>Highway speed range based on storage and efficiency per mile (below).</t>
  </si>
  <si>
    <t>Current rating for the eBox battery pack (85% of gross storage above).</t>
  </si>
  <si>
    <t>See worksheet footnote 1.</t>
  </si>
  <si>
    <t>See worksheet footnote 2.</t>
  </si>
  <si>
    <t>Cost per gallon of gasoline divided by the miles per gallon efficiency.</t>
  </si>
  <si>
    <t>Cost per kWh of electricity divided by the estimated watt-hour/mile efficiency.</t>
  </si>
  <si>
    <t xml:space="preserve">Twenty-two hours allows the car driver to be off the grid 2 hours a day (one hour each way to and from work and for errands).  Also see worksheet footnote 3. </t>
  </si>
  <si>
    <t>The Gross Battery Storage (kWh) for the eBox:</t>
  </si>
  <si>
    <t>Net Battery Storage (kWh) for the eBox:</t>
  </si>
  <si>
    <t>The eBox bidirectional battery charger throughput in KW:</t>
  </si>
  <si>
    <r>
      <t xml:space="preserve">Regulation Service Rate </t>
    </r>
    <r>
      <rPr>
        <b/>
        <sz val="12"/>
        <rFont val="Arial"/>
      </rPr>
      <t>per Mega</t>
    </r>
    <r>
      <rPr>
        <sz val="12"/>
        <rFont val="Arial"/>
      </rPr>
      <t xml:space="preserve"> </t>
    </r>
    <r>
      <rPr>
        <b/>
        <sz val="12"/>
        <rFont val="Arial"/>
      </rPr>
      <t>Watt-hour</t>
    </r>
    <r>
      <rPr>
        <vertAlign val="superscript"/>
        <sz val="12"/>
        <rFont val="Arial"/>
      </rPr>
      <t>5</t>
    </r>
  </si>
  <si>
    <t>Based on an estimated $250 per kWh plus $15 per kWh installation labor.</t>
  </si>
  <si>
    <t>See PJM chart below the worksheet.</t>
  </si>
  <si>
    <r>
      <t xml:space="preserve">Total estimated year 2019 </t>
    </r>
    <r>
      <rPr>
        <b/>
        <sz val="12"/>
        <rFont val="Arial"/>
        <family val="2"/>
      </rPr>
      <t>battery pack</t>
    </r>
    <r>
      <rPr>
        <sz val="12"/>
        <rFont val="Arial"/>
      </rPr>
      <t xml:space="preserve"> replacement cost:</t>
    </r>
  </si>
  <si>
    <t>The gross income is 100% of the vehicle's estimated Regulation Service income.</t>
  </si>
  <si>
    <r>
      <t xml:space="preserve">Est. Regulation Service </t>
    </r>
    <r>
      <rPr>
        <b/>
        <sz val="12"/>
        <rFont val="Arial"/>
      </rPr>
      <t>Gross Income</t>
    </r>
    <r>
      <rPr>
        <sz val="12"/>
        <rFont val="Arial"/>
      </rPr>
      <t xml:space="preserve"> per year per eBox:</t>
    </r>
  </si>
  <si>
    <r>
      <t xml:space="preserve">Tons </t>
    </r>
    <r>
      <rPr>
        <b/>
        <sz val="12"/>
        <rFont val="Arial"/>
      </rPr>
      <t>per year</t>
    </r>
    <r>
      <rPr>
        <sz val="12"/>
        <rFont val="Arial"/>
      </rPr>
      <t xml:space="preserve"> of Green House Gases (gas-powered):</t>
    </r>
  </si>
  <si>
    <r>
      <t xml:space="preserve">Tons </t>
    </r>
    <r>
      <rPr>
        <b/>
        <sz val="12"/>
        <rFont val="Arial"/>
      </rPr>
      <t>per year</t>
    </r>
    <r>
      <rPr>
        <sz val="12"/>
        <rFont val="Arial"/>
      </rPr>
      <t xml:space="preserve"> of Green House Gases (electric-powered):</t>
    </r>
  </si>
  <si>
    <t>The tons per vehicle per year are estimated with all recharge produced with electric (with 49.7% coal generation, the U.S.A. national average.)  Per the Electric Power Research Institute (EPRI), Green House Gas (GHG) include carbon dioxide, methane and nitrous oxide (NO2).  Gas powered = 465 grams per mile times 12,740 miles per year divided by 453 grams per pound divided by 2,000 for tons.</t>
  </si>
  <si>
    <t>The tons per vehicle per year are estimated with all recharge produced with electric (with 49.7% coal generation, the U.S.A. national average.)  Per the Electric Power Research Institute (EPRI), Green House Gas (GHG) include carbon dioxide, methane and nitrous oxide (NO2).  Electric with 50% coal = 83 grams per mile times 12,740 miles per year divided by 453 grams per pound divided by 2,000 for tons.  Note: Even with 100% coal-powered electric generation, the all-electric is nearly 3 times cleaner than gasoline-powered cars.  Electric with 100% coal = 165 grams per mile.</t>
  </si>
  <si>
    <t xml:space="preserve">Change the data in the </t>
  </si>
  <si>
    <t>blue cells</t>
  </si>
  <si>
    <t>to customize the data to your own situation and the 'bottom</t>
  </si>
  <si>
    <t xml:space="preserve">This worksheet was conceived and starting in September 2005.  It was written and </t>
  </si>
  <si>
    <t>Average Fuel Savings per month:</t>
  </si>
  <si>
    <t>Net Payment (Income) per month:</t>
  </si>
  <si>
    <t>Payment 72 months &amp; 6% interest rate:</t>
  </si>
  <si>
    <t>a vehicle is needed for a destination greater then 100 miles away, or train or air travel will be</t>
  </si>
  <si>
    <t>line' results will be displayed.  We suggest you read through this worksheet and as you pass</t>
  </si>
  <si>
    <t>the blue boxes, note the amounts.  Keep those numbers that you feel fit your driving experience, and</t>
  </si>
  <si>
    <t>change the others so the results are meaningful to your planned application for the car(s).</t>
  </si>
  <si>
    <r>
      <t xml:space="preserve">The Estimated Off-Peak Average Cost of </t>
    </r>
    <r>
      <rPr>
        <b/>
        <sz val="10"/>
        <rFont val="Arial"/>
        <family val="2"/>
      </rPr>
      <t>One Kilowatt Hour of Electricity</t>
    </r>
    <r>
      <rPr>
        <vertAlign val="superscript"/>
        <sz val="10"/>
        <rFont val="Arial"/>
        <family val="2"/>
      </rPr>
      <t>2</t>
    </r>
  </si>
  <si>
    <r>
      <t xml:space="preserve">Estimated year 2019 battery replacement cost $250+$15 labor </t>
    </r>
    <r>
      <rPr>
        <b/>
        <sz val="10"/>
        <rFont val="Arial"/>
        <family val="2"/>
      </rPr>
      <t>per kWh</t>
    </r>
    <r>
      <rPr>
        <sz val="10"/>
        <rFont val="Arial"/>
      </rPr>
      <t>:</t>
    </r>
  </si>
  <si>
    <r>
      <t xml:space="preserve">Total estimated year 2019 </t>
    </r>
    <r>
      <rPr>
        <b/>
        <sz val="10"/>
        <rFont val="Arial"/>
        <family val="2"/>
      </rPr>
      <t>battery pack</t>
    </r>
    <r>
      <rPr>
        <sz val="10"/>
        <rFont val="Arial"/>
      </rPr>
      <t xml:space="preserve"> replacement Cost</t>
    </r>
  </si>
  <si>
    <r>
      <t xml:space="preserve">Estimated year 2019 battery replacement cost </t>
    </r>
    <r>
      <rPr>
        <b/>
        <sz val="12"/>
        <rFont val="Arial"/>
        <family val="2"/>
      </rPr>
      <t>per kWh</t>
    </r>
    <r>
      <rPr>
        <sz val="12"/>
        <rFont val="Arial"/>
      </rPr>
      <t>:</t>
    </r>
  </si>
  <si>
    <t>(Federal / State Tax Credit:)</t>
  </si>
  <si>
    <t>Cost of the vehicles:</t>
  </si>
  <si>
    <r>
      <t>Estimated Off-Peak Average Cost of 1 kWh</t>
    </r>
    <r>
      <rPr>
        <b/>
        <sz val="12"/>
        <rFont val="Arial"/>
        <family val="2"/>
      </rPr>
      <t xml:space="preserve"> of Electricity</t>
    </r>
  </si>
  <si>
    <t>and his staff at the University of Delaware.</t>
  </si>
  <si>
    <r>
      <t xml:space="preserve">The national average inflation rate is about 2.75 per year.  The Energy inflation rate averages a higher rate (for coal, gasoline and power, etc.) and we use 5% here.  </t>
    </r>
    <r>
      <rPr>
        <b/>
        <sz val="12"/>
        <rFont val="Arial"/>
        <family val="2"/>
      </rPr>
      <t xml:space="preserve">Note: </t>
    </r>
    <r>
      <rPr>
        <sz val="12"/>
        <rFont val="Arial"/>
      </rPr>
      <t xml:space="preserve">The inflation rate impacts the future estimated cost of gasoline, electric and the value of regulation service, so the bottom line calculations vary with the inflation rate you choose to model in this worksheet. </t>
    </r>
  </si>
  <si>
    <t xml:space="preserve">Distributed by U of Delaware GIV Group, www.udel.edu/V2G </t>
  </si>
  <si>
    <t>Last updated October 2011</t>
  </si>
  <si>
    <t>This is for documentation; these baseline data values do not automatically replace those on the active spreadsheet</t>
  </si>
  <si>
    <r>
      <t>The EV Estimated Watt Hour/Mile (Wh/mile) allows for 9% charging losses</t>
    </r>
    <r>
      <rPr>
        <vertAlign val="superscript"/>
        <sz val="10"/>
        <rFont val="Arial"/>
        <family val="2"/>
      </rPr>
      <t>4</t>
    </r>
  </si>
  <si>
    <t>The Gross Battery Storage (kWh) for the EV</t>
  </si>
  <si>
    <t>The Net Battery Storage (kWh) for the EV (85% Depth of Discharge)</t>
  </si>
  <si>
    <t>The EV bidirectional battery charger throughput in KW:</t>
  </si>
  <si>
    <t>Number of EVes to make up 1 Mega Watt-Hour (if 100% available)</t>
  </si>
  <si>
    <t>Regulation Service participation rate per hour per EV:</t>
  </si>
  <si>
    <t>Estimated Regulation Service Gross Income per year per EV per above data:</t>
  </si>
  <si>
    <t>19 kW residential 16 kW commercial</t>
  </si>
  <si>
    <t>Residential: 240 V at 80 amp; Commercial 208 V at 80 amp</t>
  </si>
  <si>
    <t>Background information and sources.</t>
  </si>
  <si>
    <t>eBox is used as an example for some values.  Note, these values do not update cells in Sheet 2</t>
  </si>
  <si>
    <t>Estimated Aggregator Service Fee Per Year:</t>
  </si>
  <si>
    <t>The Aggregator fee to manage the V2G process for each car is estimated to equal 1/3 of the total vehicle gross income.  This fee structure could also be set up as a flat fee per year.  NOTE: No Aggregator Service is established at this time.</t>
  </si>
  <si>
    <t>PJM Regulation History (2003 through 2010)</t>
  </si>
  <si>
    <t xml:space="preserve"> '(See PJM data chart below for 8-year average)</t>
  </si>
  <si>
    <r>
      <rPr>
        <sz val="10"/>
        <rFont val="Arial"/>
        <family val="2"/>
      </rPr>
      <t xml:space="preserve">Price per gallon is the East Coast of the U.S. average for September 2011 source: </t>
    </r>
    <r>
      <rPr>
        <i/>
        <sz val="10"/>
        <rFont val="Arial"/>
        <family val="2"/>
      </rPr>
      <t xml:space="preserve">  http://tonto.eia.doe.gov/oog/info/gdu/gasdiesel.asp</t>
    </r>
  </si>
  <si>
    <r>
      <t>As reported by Monitoring Analytics PJM State of the Market Report,</t>
    </r>
    <r>
      <rPr>
        <i/>
        <sz val="10"/>
        <rFont val="Arial"/>
        <family val="2"/>
      </rPr>
      <t xml:space="preserve"> www.monitoringanalytics.com</t>
    </r>
  </si>
  <si>
    <t>Note:  PJM has updated in 2013 their rules to provide pauyments proportional to quality (based on response speed and accuracy), in response to FERC order 755. This has increased the value from $18 as shown in the table for 2010 to about $29 in first half of 2013.  This should be expected to increase value in other US RTOs as they implement rules to comply with this FERC order.</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</si>
</sst>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44" formatCode="_(&quot;$&quot;* #,##0.00_);_(&quot;$&quot;* \(#,##0.00\);_(&quot;$&quot;* &quot;-&quot;??_);_(@_)"/>
    <numFmt numFmtId="43" formatCode="_(* #,##0.00_);_(* \(#,##0.00\);_(* &quot;-&quot;??_);_(@_)"/>
    <numFmt numFmtId="164" formatCode="_(* #,##0.0_);_(* \(#,##0.0\);_(* &quot;-&quot;??_);_(@_)"/>
    <numFmt numFmtId="165" formatCode="_(* #,##0_);_(* \(#,##0\);_(* &quot;-&quot;??_);_(@_)"/>
    <numFmt numFmtId="166" formatCode="_(&quot;$&quot;* #,##0.0_);_(&quot;$&quot;* \(#,##0.0\);_(&quot;$&quot;* &quot;-&quot;??_);_(@_)"/>
    <numFmt numFmtId="167" formatCode="_(&quot;$&quot;* #,##0.000_);_(&quot;$&quot;* \(#,##0.000\);_(&quot;$&quot;* &quot;-&quot;??_);_(@_)"/>
    <numFmt numFmtId="168" formatCode="_(&quot;$&quot;* #,##0_);_(&quot;$&quot;* \(#,##0\);_(&quot;$&quot;* &quot;-&quot;??_);_(@_)"/>
    <numFmt numFmtId="174" formatCode="0.000"/>
    <numFmt numFmtId="176" formatCode="0.0%"/>
    <numFmt numFmtId="178" formatCode="0.0"/>
    <numFmt numFmtId="184" formatCode="&quot;$&quot;#,##0.000_);[Red]\(&quot;$&quot;#,##0.000\)"/>
  </numFmts>
  <fonts count="28" x14ac:knownFonts="1">
    <font>
      <sz val="10"/>
      <name val="Arial"/>
    </font>
    <font>
      <sz val="10"/>
      <name val="Arial"/>
    </font>
    <font>
      <b/>
      <sz val="10"/>
      <name val="Arial"/>
      <family val="2"/>
    </font>
    <font>
      <sz val="8"/>
      <name val="Arial"/>
    </font>
    <font>
      <b/>
      <sz val="12"/>
      <name val="Arial"/>
      <family val="2"/>
    </font>
    <font>
      <b/>
      <u/>
      <sz val="10"/>
      <name val="Arial"/>
      <family val="2"/>
    </font>
    <font>
      <sz val="10"/>
      <name val="Arial"/>
      <family val="2"/>
    </font>
    <font>
      <i/>
      <sz val="10"/>
      <name val="Arial"/>
      <family val="2"/>
    </font>
    <font>
      <u/>
      <sz val="10"/>
      <color indexed="12"/>
      <name val="Arial"/>
    </font>
    <font>
      <b/>
      <sz val="9"/>
      <name val="Arial"/>
      <family val="2"/>
    </font>
    <font>
      <sz val="9"/>
      <name val="Arial"/>
    </font>
    <font>
      <vertAlign val="superscript"/>
      <sz val="10"/>
      <name val="Arial"/>
      <family val="2"/>
    </font>
    <font>
      <vertAlign val="superscript"/>
      <sz val="10"/>
      <name val="Arial"/>
    </font>
    <font>
      <sz val="10"/>
      <color indexed="9"/>
      <name val="Arial"/>
    </font>
    <font>
      <vertAlign val="superscript"/>
      <sz val="9"/>
      <name val="Arial"/>
      <family val="2"/>
    </font>
    <font>
      <sz val="10"/>
      <color indexed="48"/>
      <name val="Arial"/>
      <family val="2"/>
    </font>
    <font>
      <b/>
      <sz val="8"/>
      <name val="Arial"/>
      <family val="2"/>
    </font>
    <font>
      <sz val="12"/>
      <name val="Arial"/>
    </font>
    <font>
      <i/>
      <sz val="12"/>
      <name val="Arial"/>
      <family val="2"/>
    </font>
    <font>
      <vertAlign val="superscript"/>
      <sz val="12"/>
      <name val="Arial"/>
      <family val="2"/>
    </font>
    <font>
      <b/>
      <sz val="10"/>
      <color indexed="12"/>
      <name val="Arial"/>
      <family val="2"/>
    </font>
    <font>
      <b/>
      <u/>
      <sz val="10"/>
      <name val="Arial"/>
    </font>
    <font>
      <sz val="10"/>
      <name val="Arial"/>
    </font>
    <font>
      <b/>
      <sz val="10"/>
      <name val="Arial"/>
    </font>
    <font>
      <sz val="10"/>
      <name val="Arial"/>
    </font>
    <font>
      <b/>
      <sz val="12"/>
      <name val="Arial"/>
    </font>
    <font>
      <vertAlign val="superscript"/>
      <sz val="12"/>
      <name val="Arial"/>
    </font>
    <font>
      <sz val="12"/>
      <name val="Arial"/>
      <family val="2"/>
    </font>
  </fonts>
  <fills count="9">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221">
    <xf numFmtId="0" fontId="0" fillId="0" borderId="0" xfId="0"/>
    <xf numFmtId="44" fontId="0" fillId="0" borderId="0" xfId="2" applyFont="1"/>
    <xf numFmtId="165" fontId="0" fillId="2" borderId="1" xfId="1" applyNumberFormat="1" applyFont="1" applyFill="1" applyBorder="1"/>
    <xf numFmtId="167" fontId="0" fillId="2" borderId="1" xfId="2" applyNumberFormat="1" applyFont="1" applyFill="1" applyBorder="1"/>
    <xf numFmtId="0" fontId="0" fillId="2" borderId="1" xfId="0" applyFill="1" applyBorder="1"/>
    <xf numFmtId="44" fontId="0" fillId="2" borderId="1" xfId="2" applyFont="1" applyFill="1" applyBorder="1"/>
    <xf numFmtId="168" fontId="0" fillId="2" borderId="1" xfId="2" applyNumberFormat="1" applyFont="1" applyFill="1" applyBorder="1"/>
    <xf numFmtId="174" fontId="0" fillId="0" borderId="0" xfId="0" applyNumberFormat="1"/>
    <xf numFmtId="0" fontId="5" fillId="0" borderId="0" xfId="0" applyFont="1"/>
    <xf numFmtId="0" fontId="0" fillId="0" borderId="0" xfId="0" applyAlignment="1">
      <alignment horizontal="right"/>
    </xf>
    <xf numFmtId="0" fontId="0" fillId="0" borderId="0" xfId="0" applyFill="1" applyBorder="1" applyAlignment="1">
      <alignment horizontal="right"/>
    </xf>
    <xf numFmtId="0" fontId="0" fillId="0" borderId="1" xfId="0" applyBorder="1" applyAlignment="1">
      <alignment horizontal="center"/>
    </xf>
    <xf numFmtId="168" fontId="0" fillId="0" borderId="1" xfId="0" applyNumberFormat="1" applyBorder="1"/>
    <xf numFmtId="165" fontId="0" fillId="0" borderId="1" xfId="0" applyNumberFormat="1" applyBorder="1"/>
    <xf numFmtId="0" fontId="2" fillId="0" borderId="0" xfId="0" applyFont="1" applyBorder="1"/>
    <xf numFmtId="168" fontId="0" fillId="0" borderId="2" xfId="2" applyNumberFormat="1" applyFont="1" applyFill="1" applyBorder="1"/>
    <xf numFmtId="167" fontId="0" fillId="0" borderId="3" xfId="2" applyNumberFormat="1" applyFont="1" applyBorder="1"/>
    <xf numFmtId="167" fontId="0" fillId="0" borderId="4" xfId="2" applyNumberFormat="1" applyFont="1" applyBorder="1"/>
    <xf numFmtId="176" fontId="0" fillId="2" borderId="1" xfId="4" applyNumberFormat="1" applyFont="1" applyFill="1" applyBorder="1"/>
    <xf numFmtId="0" fontId="0" fillId="0" borderId="0" xfId="0" quotePrefix="1"/>
    <xf numFmtId="167" fontId="0" fillId="0" borderId="1" xfId="2" applyNumberFormat="1" applyFont="1" applyBorder="1"/>
    <xf numFmtId="44" fontId="0" fillId="0" borderId="1" xfId="2" applyFont="1" applyBorder="1" applyAlignment="1">
      <alignment horizontal="center"/>
    </xf>
    <xf numFmtId="168" fontId="6" fillId="0" borderId="1" xfId="2" applyNumberFormat="1" applyFont="1" applyBorder="1" applyAlignment="1">
      <alignment horizontal="center"/>
    </xf>
    <xf numFmtId="168" fontId="6" fillId="0" borderId="5" xfId="2" applyNumberFormat="1" applyFont="1" applyBorder="1" applyAlignment="1">
      <alignment horizontal="center"/>
    </xf>
    <xf numFmtId="0" fontId="0" fillId="0" borderId="0" xfId="0" applyFill="1" applyBorder="1"/>
    <xf numFmtId="0" fontId="0" fillId="0" borderId="0" xfId="0" applyBorder="1"/>
    <xf numFmtId="0" fontId="2" fillId="3" borderId="1" xfId="0" applyFont="1" applyFill="1" applyBorder="1" applyAlignment="1">
      <alignment horizontal="center"/>
    </xf>
    <xf numFmtId="44" fontId="2" fillId="0" borderId="1" xfId="2" applyFont="1" applyBorder="1" applyAlignment="1">
      <alignment horizontal="center"/>
    </xf>
    <xf numFmtId="1" fontId="0" fillId="0" borderId="1" xfId="0" applyNumberFormat="1" applyBorder="1" applyAlignment="1">
      <alignment horizontal="center"/>
    </xf>
    <xf numFmtId="0" fontId="2" fillId="4" borderId="1" xfId="0" applyFont="1" applyFill="1" applyBorder="1" applyAlignment="1">
      <alignment horizontal="center"/>
    </xf>
    <xf numFmtId="0" fontId="2" fillId="4" borderId="1" xfId="0" applyFont="1" applyFill="1" applyBorder="1" applyAlignment="1">
      <alignment horizontal="center" wrapText="1"/>
    </xf>
    <xf numFmtId="167" fontId="0" fillId="2" borderId="6" xfId="2" applyNumberFormat="1" applyFont="1" applyFill="1" applyBorder="1"/>
    <xf numFmtId="0" fontId="0" fillId="0" borderId="1" xfId="0" quotePrefix="1" applyBorder="1" applyAlignment="1">
      <alignment horizontal="center"/>
    </xf>
    <xf numFmtId="168" fontId="0" fillId="0" borderId="7" xfId="2" applyNumberFormat="1" applyFont="1" applyFill="1" applyBorder="1"/>
    <xf numFmtId="168" fontId="0" fillId="0" borderId="6" xfId="0" applyNumberFormat="1" applyBorder="1"/>
    <xf numFmtId="165" fontId="0" fillId="0" borderId="6" xfId="0" applyNumberFormat="1" applyBorder="1"/>
    <xf numFmtId="0" fontId="0" fillId="0" borderId="6" xfId="0" applyBorder="1" applyAlignment="1">
      <alignment horizontal="center"/>
    </xf>
    <xf numFmtId="0" fontId="2" fillId="4" borderId="8" xfId="0" applyFont="1" applyFill="1" applyBorder="1" applyAlignment="1">
      <alignment horizontal="center"/>
    </xf>
    <xf numFmtId="0" fontId="2" fillId="3" borderId="8" xfId="0" applyFont="1" applyFill="1" applyBorder="1" applyAlignment="1">
      <alignment horizontal="center"/>
    </xf>
    <xf numFmtId="0" fontId="0" fillId="0" borderId="0" xfId="0" quotePrefix="1" applyBorder="1" applyAlignment="1">
      <alignment horizontal="left"/>
    </xf>
    <xf numFmtId="0" fontId="0" fillId="2" borderId="1" xfId="0" applyFill="1" applyBorder="1" applyAlignment="1">
      <alignment horizontal="center"/>
    </xf>
    <xf numFmtId="0" fontId="2" fillId="0" borderId="8" xfId="0" applyFont="1" applyFill="1" applyBorder="1" applyAlignment="1">
      <alignment horizontal="center"/>
    </xf>
    <xf numFmtId="0" fontId="2" fillId="0" borderId="9" xfId="0" applyFont="1" applyBorder="1" applyAlignment="1">
      <alignment horizontal="center"/>
    </xf>
    <xf numFmtId="0" fontId="0" fillId="0" borderId="0" xfId="0" applyBorder="1" applyAlignment="1">
      <alignment horizontal="right"/>
    </xf>
    <xf numFmtId="0" fontId="2" fillId="0" borderId="0" xfId="0" applyFont="1"/>
    <xf numFmtId="44" fontId="0" fillId="0" borderId="1" xfId="2" applyNumberFormat="1" applyFont="1" applyBorder="1"/>
    <xf numFmtId="167" fontId="0" fillId="0" borderId="0" xfId="2" applyNumberFormat="1" applyFont="1" applyBorder="1"/>
    <xf numFmtId="168" fontId="0" fillId="0" borderId="0" xfId="2" applyNumberFormat="1" applyFont="1" applyFill="1" applyBorder="1"/>
    <xf numFmtId="168" fontId="0" fillId="0" borderId="0" xfId="2" applyNumberFormat="1" applyFont="1" applyBorder="1" applyAlignment="1">
      <alignment horizontal="center"/>
    </xf>
    <xf numFmtId="168" fontId="0" fillId="0" borderId="0" xfId="0" applyNumberFormat="1" applyBorder="1"/>
    <xf numFmtId="165" fontId="0" fillId="0" borderId="0" xfId="0" applyNumberFormat="1" applyBorder="1"/>
    <xf numFmtId="0" fontId="0" fillId="0" borderId="0" xfId="0" applyBorder="1" applyAlignment="1">
      <alignment horizontal="center"/>
    </xf>
    <xf numFmtId="167" fontId="0" fillId="0" borderId="1" xfId="0" applyNumberFormat="1" applyBorder="1"/>
    <xf numFmtId="44" fontId="0" fillId="0" borderId="10" xfId="0" applyNumberFormat="1" applyBorder="1"/>
    <xf numFmtId="167" fontId="0" fillId="0" borderId="3" xfId="0" applyNumberFormat="1" applyBorder="1"/>
    <xf numFmtId="167" fontId="0" fillId="0" borderId="5" xfId="2" applyNumberFormat="1" applyFont="1" applyBorder="1"/>
    <xf numFmtId="1" fontId="0" fillId="0" borderId="1" xfId="0" applyNumberFormat="1" applyBorder="1" applyAlignment="1">
      <alignment horizontal="right"/>
    </xf>
    <xf numFmtId="0" fontId="9" fillId="0" borderId="1" xfId="0" applyFont="1" applyBorder="1"/>
    <xf numFmtId="0" fontId="9" fillId="0" borderId="3" xfId="0" applyFont="1" applyBorder="1"/>
    <xf numFmtId="0" fontId="9" fillId="0" borderId="10" xfId="0" applyFont="1" applyBorder="1" applyAlignment="1">
      <alignment horizontal="center"/>
    </xf>
    <xf numFmtId="168" fontId="0" fillId="0" borderId="0" xfId="0" applyNumberFormat="1"/>
    <xf numFmtId="168" fontId="0" fillId="0" borderId="0" xfId="2" applyNumberFormat="1" applyFont="1" applyBorder="1"/>
    <xf numFmtId="168" fontId="2" fillId="0" borderId="6" xfId="2" applyNumberFormat="1" applyFont="1" applyFill="1" applyBorder="1"/>
    <xf numFmtId="168" fontId="2" fillId="0" borderId="1" xfId="2" applyNumberFormat="1" applyFont="1" applyFill="1" applyBorder="1"/>
    <xf numFmtId="168" fontId="0" fillId="0" borderId="9" xfId="2" applyNumberFormat="1" applyFont="1" applyBorder="1"/>
    <xf numFmtId="167" fontId="0" fillId="0" borderId="6" xfId="2" applyNumberFormat="1" applyFont="1" applyBorder="1"/>
    <xf numFmtId="0" fontId="7" fillId="0" borderId="0" xfId="0" quotePrefix="1" applyFont="1" applyBorder="1" applyAlignment="1">
      <alignment horizontal="left"/>
    </xf>
    <xf numFmtId="0" fontId="12" fillId="0" borderId="0" xfId="0" applyFont="1"/>
    <xf numFmtId="0" fontId="0" fillId="0" borderId="0" xfId="0" applyBorder="1" applyAlignment="1">
      <alignment horizontal="left"/>
    </xf>
    <xf numFmtId="0" fontId="6" fillId="0" borderId="0" xfId="0" applyFont="1" applyBorder="1"/>
    <xf numFmtId="168" fontId="0" fillId="0" borderId="0" xfId="2" applyNumberFormat="1" applyFont="1" applyBorder="1" applyAlignment="1">
      <alignment horizontal="left"/>
    </xf>
    <xf numFmtId="165" fontId="0" fillId="0" borderId="0" xfId="0" applyNumberFormat="1"/>
    <xf numFmtId="0" fontId="0" fillId="0" borderId="0" xfId="0" applyFill="1" applyBorder="1" applyAlignment="1">
      <alignment horizontal="left"/>
    </xf>
    <xf numFmtId="168" fontId="1" fillId="0" borderId="0" xfId="0" applyNumberFormat="1" applyFont="1"/>
    <xf numFmtId="44" fontId="1" fillId="0" borderId="0" xfId="0" applyNumberFormat="1" applyFont="1"/>
    <xf numFmtId="0" fontId="0" fillId="0" borderId="0" xfId="0" quotePrefix="1" applyAlignment="1">
      <alignment horizontal="right"/>
    </xf>
    <xf numFmtId="44" fontId="0" fillId="0" borderId="0" xfId="0" applyNumberFormat="1"/>
    <xf numFmtId="0" fontId="2" fillId="0" borderId="1" xfId="0" applyFont="1" applyBorder="1" applyAlignment="1">
      <alignment horizontal="center"/>
    </xf>
    <xf numFmtId="165" fontId="0" fillId="5" borderId="1" xfId="1" applyNumberFormat="1" applyFont="1" applyFill="1" applyBorder="1"/>
    <xf numFmtId="167" fontId="0" fillId="6" borderId="1" xfId="2" applyNumberFormat="1" applyFont="1" applyFill="1" applyBorder="1"/>
    <xf numFmtId="167" fontId="0" fillId="6" borderId="6" xfId="2" applyNumberFormat="1" applyFont="1" applyFill="1" applyBorder="1"/>
    <xf numFmtId="166" fontId="0" fillId="0" borderId="0" xfId="2" applyNumberFormat="1" applyFont="1"/>
    <xf numFmtId="165" fontId="0" fillId="0" borderId="0" xfId="1" quotePrefix="1" applyNumberFormat="1" applyFont="1"/>
    <xf numFmtId="0" fontId="0" fillId="6" borderId="11" xfId="0" applyFill="1" applyBorder="1"/>
    <xf numFmtId="0" fontId="0" fillId="6" borderId="12" xfId="0" applyFill="1" applyBorder="1"/>
    <xf numFmtId="0" fontId="0" fillId="6" borderId="2" xfId="0" applyFill="1" applyBorder="1" applyAlignment="1">
      <alignment horizontal="right"/>
    </xf>
    <xf numFmtId="164" fontId="0" fillId="0" borderId="0" xfId="1" applyNumberFormat="1" applyFont="1"/>
    <xf numFmtId="44" fontId="13" fillId="0" borderId="0" xfId="2" applyFont="1" applyBorder="1"/>
    <xf numFmtId="43" fontId="0" fillId="0" borderId="0" xfId="0" applyNumberFormat="1"/>
    <xf numFmtId="0" fontId="2" fillId="3" borderId="1" xfId="0" applyFont="1" applyFill="1" applyBorder="1" applyAlignment="1">
      <alignment horizontal="center" wrapText="1"/>
    </xf>
    <xf numFmtId="0" fontId="0" fillId="0" borderId="0" xfId="0" quotePrefix="1" applyBorder="1"/>
    <xf numFmtId="0" fontId="2" fillId="7" borderId="6" xfId="0" applyFont="1" applyFill="1" applyBorder="1" applyAlignment="1">
      <alignment horizontal="center"/>
    </xf>
    <xf numFmtId="0" fontId="2" fillId="7" borderId="9" xfId="0" applyFont="1" applyFill="1" applyBorder="1" applyAlignment="1">
      <alignment horizontal="center"/>
    </xf>
    <xf numFmtId="0" fontId="2" fillId="0" borderId="6" xfId="0" applyFont="1" applyBorder="1" applyAlignment="1">
      <alignment horizontal="center"/>
    </xf>
    <xf numFmtId="168" fontId="1" fillId="0" borderId="1" xfId="2" applyNumberFormat="1" applyFont="1" applyBorder="1" applyAlignment="1">
      <alignment horizontal="center"/>
    </xf>
    <xf numFmtId="165" fontId="1" fillId="0" borderId="1" xfId="0" applyNumberFormat="1" applyFont="1" applyBorder="1"/>
    <xf numFmtId="167" fontId="0" fillId="0" borderId="1" xfId="2" applyNumberFormat="1" applyFont="1" applyBorder="1" applyAlignment="1">
      <alignment horizontal="center"/>
    </xf>
    <xf numFmtId="167" fontId="0" fillId="0" borderId="0" xfId="0" applyNumberFormat="1"/>
    <xf numFmtId="0" fontId="11" fillId="0" borderId="0" xfId="0" applyFont="1"/>
    <xf numFmtId="165" fontId="1" fillId="0" borderId="0" xfId="0" applyNumberFormat="1" applyFont="1" applyBorder="1"/>
    <xf numFmtId="168" fontId="6" fillId="0" borderId="0" xfId="2" applyNumberFormat="1" applyFont="1" applyBorder="1" applyAlignment="1">
      <alignment horizontal="left"/>
    </xf>
    <xf numFmtId="167" fontId="0" fillId="0" borderId="5" xfId="2" applyNumberFormat="1" applyFont="1" applyBorder="1" applyAlignment="1">
      <alignment horizontal="center"/>
    </xf>
    <xf numFmtId="0" fontId="0" fillId="0" borderId="0" xfId="0" applyBorder="1" applyAlignment="1"/>
    <xf numFmtId="0" fontId="11" fillId="0" borderId="0" xfId="0" quotePrefix="1" applyFont="1"/>
    <xf numFmtId="9" fontId="0" fillId="6" borderId="11" xfId="4" applyFont="1" applyFill="1" applyBorder="1"/>
    <xf numFmtId="0" fontId="0" fillId="6" borderId="1" xfId="0" applyFill="1" applyBorder="1"/>
    <xf numFmtId="167" fontId="2" fillId="0" borderId="0" xfId="2" applyNumberFormat="1" applyFont="1" applyBorder="1"/>
    <xf numFmtId="44" fontId="0" fillId="7" borderId="9" xfId="2" applyFont="1" applyFill="1" applyBorder="1"/>
    <xf numFmtId="0" fontId="0" fillId="7" borderId="9" xfId="0" applyFill="1" applyBorder="1" applyAlignment="1">
      <alignment horizontal="center"/>
    </xf>
    <xf numFmtId="168" fontId="6" fillId="2" borderId="5" xfId="2" applyNumberFormat="1" applyFont="1" applyFill="1" applyBorder="1" applyAlignment="1">
      <alignment horizontal="center"/>
    </xf>
    <xf numFmtId="0" fontId="15" fillId="0" borderId="0" xfId="0" applyFont="1"/>
    <xf numFmtId="0" fontId="0" fillId="0" borderId="2" xfId="0"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43" fontId="1" fillId="0" borderId="0" xfId="2" applyNumberFormat="1" applyFont="1" applyFill="1" applyBorder="1" applyAlignment="1">
      <alignment horizontal="right"/>
    </xf>
    <xf numFmtId="178" fontId="0" fillId="8" borderId="1" xfId="0" applyNumberFormat="1" applyFill="1" applyBorder="1" applyAlignment="1">
      <alignment horizontal="center"/>
    </xf>
    <xf numFmtId="178" fontId="0" fillId="0" borderId="1" xfId="0" applyNumberFormat="1" applyBorder="1"/>
    <xf numFmtId="44" fontId="0" fillId="7" borderId="1" xfId="2" applyFont="1" applyFill="1" applyBorder="1"/>
    <xf numFmtId="0" fontId="0" fillId="7" borderId="1" xfId="0"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7" fillId="0" borderId="0" xfId="0" applyFont="1"/>
    <xf numFmtId="0" fontId="17" fillId="0" borderId="6" xfId="0" applyFont="1" applyBorder="1" applyAlignment="1">
      <alignment horizontal="right"/>
    </xf>
    <xf numFmtId="6" fontId="17" fillId="0" borderId="6" xfId="0" applyNumberFormat="1" applyFont="1" applyBorder="1"/>
    <xf numFmtId="0" fontId="17" fillId="0" borderId="6" xfId="0" applyFont="1" applyBorder="1"/>
    <xf numFmtId="0" fontId="17" fillId="0" borderId="1" xfId="0" applyFont="1" applyBorder="1" applyAlignment="1">
      <alignment horizontal="right"/>
    </xf>
    <xf numFmtId="0" fontId="17" fillId="0" borderId="1" xfId="0" applyFont="1" applyBorder="1"/>
    <xf numFmtId="0" fontId="17" fillId="6" borderId="1" xfId="0" applyFont="1" applyFill="1" applyBorder="1" applyAlignment="1">
      <alignment horizontal="right"/>
    </xf>
    <xf numFmtId="0" fontId="4" fillId="0" borderId="0" xfId="0" applyFont="1"/>
    <xf numFmtId="0" fontId="4" fillId="0" borderId="16" xfId="0" applyFont="1" applyBorder="1"/>
    <xf numFmtId="0" fontId="17" fillId="0" borderId="1" xfId="0" applyFont="1" applyBorder="1" applyAlignment="1">
      <alignment horizontal="center"/>
    </xf>
    <xf numFmtId="0" fontId="0" fillId="0" borderId="18" xfId="0" applyBorder="1" applyAlignment="1">
      <alignment horizontal="center"/>
    </xf>
    <xf numFmtId="0" fontId="2" fillId="0" borderId="19" xfId="0" applyFont="1" applyBorder="1" applyAlignment="1">
      <alignment horizontal="center"/>
    </xf>
    <xf numFmtId="44" fontId="0" fillId="7" borderId="15" xfId="2" applyFont="1" applyFill="1" applyBorder="1"/>
    <xf numFmtId="0" fontId="16" fillId="7" borderId="16" xfId="0" applyFont="1" applyFill="1" applyBorder="1" applyAlignment="1">
      <alignment horizontal="center"/>
    </xf>
    <xf numFmtId="0" fontId="6" fillId="0" borderId="0" xfId="0" applyFont="1" applyFill="1" applyAlignment="1">
      <alignment horizontal="left"/>
    </xf>
    <xf numFmtId="3" fontId="0" fillId="5" borderId="19" xfId="0" applyNumberFormat="1" applyFill="1" applyBorder="1" applyAlignment="1">
      <alignment horizontal="center"/>
    </xf>
    <xf numFmtId="184" fontId="17" fillId="0" borderId="1" xfId="0" applyNumberFormat="1" applyFont="1" applyBorder="1"/>
    <xf numFmtId="0" fontId="2" fillId="0" borderId="1" xfId="0" applyFont="1" applyFill="1" applyBorder="1" applyAlignment="1">
      <alignment horizontal="center"/>
    </xf>
    <xf numFmtId="0" fontId="0" fillId="0" borderId="5" xfId="0" applyBorder="1" applyAlignment="1">
      <alignment horizontal="center"/>
    </xf>
    <xf numFmtId="0" fontId="17" fillId="0" borderId="1" xfId="0" applyFont="1" applyBorder="1" applyAlignment="1">
      <alignment wrapText="1"/>
    </xf>
    <xf numFmtId="9" fontId="17" fillId="0" borderId="1" xfId="0" applyNumberFormat="1" applyFont="1" applyBorder="1" applyAlignment="1">
      <alignment horizontal="center"/>
    </xf>
    <xf numFmtId="178" fontId="17" fillId="0" borderId="1" xfId="0" applyNumberFormat="1" applyFont="1" applyBorder="1" applyAlignment="1">
      <alignment horizontal="center"/>
    </xf>
    <xf numFmtId="0" fontId="0" fillId="6" borderId="1" xfId="0" quotePrefix="1" applyFill="1" applyBorder="1"/>
    <xf numFmtId="176" fontId="0" fillId="0" borderId="0" xfId="0" applyNumberFormat="1" applyFill="1" applyBorder="1"/>
    <xf numFmtId="9" fontId="0" fillId="0" borderId="0" xfId="4" applyFont="1" applyFill="1" applyBorder="1" applyAlignment="1">
      <alignment horizontal="center"/>
    </xf>
    <xf numFmtId="0" fontId="0" fillId="0" borderId="0" xfId="0" applyFill="1" applyBorder="1" applyAlignment="1">
      <alignment horizontal="center"/>
    </xf>
    <xf numFmtId="167" fontId="0" fillId="0" borderId="6" xfId="0" applyNumberFormat="1" applyBorder="1"/>
    <xf numFmtId="0" fontId="0" fillId="0" borderId="11" xfId="0" applyFill="1" applyBorder="1" applyAlignment="1">
      <alignment horizontal="center"/>
    </xf>
    <xf numFmtId="0" fontId="0" fillId="0" borderId="12" xfId="0" applyFill="1" applyBorder="1" applyAlignment="1">
      <alignment horizontal="center"/>
    </xf>
    <xf numFmtId="0" fontId="0" fillId="0" borderId="2" xfId="0" applyFill="1" applyBorder="1" applyAlignment="1">
      <alignment horizontal="center"/>
    </xf>
    <xf numFmtId="44" fontId="1" fillId="0" borderId="0" xfId="2" applyFont="1" applyBorder="1"/>
    <xf numFmtId="0" fontId="1" fillId="0" borderId="0" xfId="0" applyFont="1"/>
    <xf numFmtId="168" fontId="1" fillId="0" borderId="0" xfId="2" applyNumberFormat="1" applyFont="1" applyFill="1" applyBorder="1"/>
    <xf numFmtId="0" fontId="21" fillId="0" borderId="0" xfId="0" applyFont="1"/>
    <xf numFmtId="0" fontId="22" fillId="0" borderId="0" xfId="0" applyFont="1"/>
    <xf numFmtId="44" fontId="22" fillId="0" borderId="0" xfId="2" applyFont="1" applyBorder="1"/>
    <xf numFmtId="0" fontId="23" fillId="0" borderId="9" xfId="0" applyFont="1" applyBorder="1" applyAlignment="1">
      <alignment horizontal="center"/>
    </xf>
    <xf numFmtId="0" fontId="24" fillId="0" borderId="0" xfId="0" applyFont="1"/>
    <xf numFmtId="0" fontId="23" fillId="0" borderId="6" xfId="0" applyFont="1" applyBorder="1" applyAlignment="1">
      <alignment horizontal="center"/>
    </xf>
    <xf numFmtId="44" fontId="24" fillId="0" borderId="0" xfId="0" applyNumberFormat="1" applyFont="1"/>
    <xf numFmtId="168" fontId="24" fillId="0" borderId="0" xfId="0" applyNumberFormat="1" applyFont="1"/>
    <xf numFmtId="168" fontId="24" fillId="0" borderId="1" xfId="0" applyNumberFormat="1" applyFont="1" applyBorder="1"/>
    <xf numFmtId="0" fontId="24" fillId="0" borderId="0" xfId="0" applyFont="1" applyFill="1"/>
    <xf numFmtId="168" fontId="6" fillId="0" borderId="1" xfId="0" applyNumberFormat="1" applyFont="1" applyFill="1" applyBorder="1" applyAlignment="1"/>
    <xf numFmtId="168" fontId="0" fillId="0" borderId="1" xfId="2" applyNumberFormat="1" applyFont="1" applyBorder="1" applyAlignment="1"/>
    <xf numFmtId="0" fontId="6" fillId="7" borderId="20" xfId="0" applyFont="1" applyFill="1" applyBorder="1" applyAlignment="1">
      <alignment horizontal="center"/>
    </xf>
    <xf numFmtId="1" fontId="17" fillId="0" borderId="1" xfId="0" applyNumberFormat="1" applyFont="1" applyBorder="1" applyAlignment="1">
      <alignment horizontal="center"/>
    </xf>
    <xf numFmtId="3" fontId="17" fillId="0" borderId="1" xfId="0" applyNumberFormat="1" applyFont="1" applyFill="1" applyBorder="1"/>
    <xf numFmtId="6" fontId="17" fillId="0" borderId="1" xfId="0" applyNumberFormat="1" applyFont="1" applyBorder="1" applyAlignment="1">
      <alignment horizontal="center"/>
    </xf>
    <xf numFmtId="168" fontId="17" fillId="0" borderId="1" xfId="2" applyNumberFormat="1" applyFont="1" applyBorder="1" applyAlignment="1">
      <alignment horizontal="center"/>
    </xf>
    <xf numFmtId="44" fontId="17" fillId="0" borderId="0" xfId="2" applyNumberFormat="1" applyFont="1"/>
    <xf numFmtId="168" fontId="0" fillId="0" borderId="1" xfId="2" applyNumberFormat="1" applyFont="1" applyBorder="1"/>
    <xf numFmtId="168" fontId="0" fillId="0" borderId="1" xfId="2" applyNumberFormat="1" applyFont="1" applyBorder="1" applyAlignment="1">
      <alignment horizontal="center"/>
    </xf>
    <xf numFmtId="168" fontId="0" fillId="0" borderId="5" xfId="2" applyNumberFormat="1" applyFont="1" applyBorder="1" applyAlignment="1">
      <alignment horizontal="center"/>
    </xf>
    <xf numFmtId="168" fontId="0" fillId="0" borderId="6" xfId="2" applyNumberFormat="1" applyFont="1" applyBorder="1"/>
    <xf numFmtId="0" fontId="17" fillId="0" borderId="6" xfId="0" applyFont="1" applyBorder="1" applyAlignment="1">
      <alignment horizontal="center"/>
    </xf>
    <xf numFmtId="0" fontId="20" fillId="0" borderId="0" xfId="0" applyFont="1" applyFill="1" applyBorder="1"/>
    <xf numFmtId="0" fontId="20" fillId="0" borderId="0" xfId="0" applyFont="1" applyBorder="1"/>
    <xf numFmtId="0" fontId="8" fillId="0" borderId="0" xfId="3" applyFont="1" applyFill="1" applyBorder="1" applyAlignment="1" applyProtection="1"/>
    <xf numFmtId="0" fontId="6" fillId="0" borderId="0" xfId="0" applyFont="1"/>
    <xf numFmtId="0" fontId="6" fillId="0" borderId="0" xfId="0" applyFont="1" applyAlignment="1">
      <alignment horizontal="right"/>
    </xf>
    <xf numFmtId="0" fontId="27" fillId="0" borderId="1" xfId="0" applyFont="1" applyBorder="1" applyAlignment="1">
      <alignment horizontal="center" wrapText="1"/>
    </xf>
    <xf numFmtId="0" fontId="27" fillId="0" borderId="1" xfId="0" applyFont="1" applyBorder="1" applyAlignment="1">
      <alignment wrapText="1"/>
    </xf>
    <xf numFmtId="0" fontId="27" fillId="0" borderId="1" xfId="0" applyFont="1" applyBorder="1" applyAlignment="1">
      <alignment horizontal="right"/>
    </xf>
    <xf numFmtId="9" fontId="17" fillId="0" borderId="0" xfId="4" applyFont="1"/>
    <xf numFmtId="0" fontId="6" fillId="0" borderId="0" xfId="2" applyNumberFormat="1" applyFont="1" applyBorder="1" applyAlignment="1"/>
    <xf numFmtId="168" fontId="0" fillId="0" borderId="11" xfId="0" applyNumberFormat="1" applyBorder="1" applyAlignment="1">
      <alignment horizontal="center"/>
    </xf>
    <xf numFmtId="168" fontId="0" fillId="0" borderId="2" xfId="0" applyNumberFormat="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2" xfId="0" applyFill="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2" xfId="0" applyFont="1" applyBorder="1" applyAlignment="1">
      <alignment horizontal="center"/>
    </xf>
    <xf numFmtId="0" fontId="10" fillId="0" borderId="11" xfId="0" applyFont="1" applyFill="1" applyBorder="1" applyAlignment="1">
      <alignment horizontal="center" wrapText="1"/>
    </xf>
    <xf numFmtId="0" fontId="10" fillId="0" borderId="12" xfId="0" applyFont="1" applyFill="1" applyBorder="1" applyAlignment="1">
      <alignment horizontal="center" wrapText="1"/>
    </xf>
    <xf numFmtId="0" fontId="10" fillId="0" borderId="2" xfId="0" applyFont="1" applyFill="1" applyBorder="1" applyAlignment="1">
      <alignment horizontal="center" wrapText="1"/>
    </xf>
    <xf numFmtId="0" fontId="0" fillId="0" borderId="11"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168" fontId="0" fillId="0" borderId="11" xfId="2" applyNumberFormat="1" applyFont="1" applyBorder="1" applyAlignment="1">
      <alignment horizontal="center"/>
    </xf>
    <xf numFmtId="168" fontId="0" fillId="0" borderId="2" xfId="2" applyNumberFormat="1" applyFont="1" applyBorder="1" applyAlignment="1">
      <alignment horizontal="center"/>
    </xf>
    <xf numFmtId="0" fontId="2" fillId="0" borderId="2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7" xfId="0" applyFont="1" applyBorder="1" applyAlignment="1">
      <alignment horizontal="center"/>
    </xf>
    <xf numFmtId="0" fontId="2" fillId="0" borderId="21" xfId="0" quotePrefix="1" applyFont="1" applyBorder="1" applyAlignment="1">
      <alignment horizontal="center"/>
    </xf>
    <xf numFmtId="0" fontId="2" fillId="0" borderId="22" xfId="0" quotePrefix="1" applyFont="1" applyBorder="1" applyAlignment="1">
      <alignment horizontal="center"/>
    </xf>
    <xf numFmtId="0" fontId="2" fillId="0" borderId="23" xfId="0" quotePrefix="1" applyFont="1" applyBorder="1" applyAlignment="1">
      <alignment horizontal="center"/>
    </xf>
    <xf numFmtId="0" fontId="2" fillId="0" borderId="24" xfId="0" applyFont="1" applyFill="1" applyBorder="1" applyAlignment="1">
      <alignment horizontal="center"/>
    </xf>
    <xf numFmtId="0" fontId="2" fillId="0" borderId="25" xfId="0" applyFont="1" applyFill="1" applyBorder="1" applyAlignment="1">
      <alignment horizontal="center"/>
    </xf>
    <xf numFmtId="168" fontId="0" fillId="0" borderId="19" xfId="2" applyNumberFormat="1" applyFont="1" applyBorder="1" applyAlignment="1">
      <alignment horizontal="center"/>
    </xf>
    <xf numFmtId="168" fontId="0" fillId="0" borderId="7" xfId="2" applyNumberFormat="1" applyFont="1" applyBorder="1" applyAlignment="1">
      <alignment horizontal="center"/>
    </xf>
    <xf numFmtId="0" fontId="2" fillId="0" borderId="14" xfId="0" quotePrefix="1" applyFont="1" applyFill="1" applyBorder="1" applyAlignment="1">
      <alignment horizontal="center"/>
    </xf>
    <xf numFmtId="0" fontId="2" fillId="0" borderId="14" xfId="0" applyFont="1" applyFill="1" applyBorder="1" applyAlignment="1">
      <alignment horizontal="center"/>
    </xf>
    <xf numFmtId="0" fontId="2" fillId="0" borderId="26" xfId="0" applyFont="1" applyFill="1" applyBorder="1" applyAlignment="1">
      <alignment horizontal="center"/>
    </xf>
    <xf numFmtId="0" fontId="27" fillId="0" borderId="0" xfId="0" applyFont="1" applyAlignment="1">
      <alignment horizontal="center"/>
    </xf>
    <xf numFmtId="0" fontId="6" fillId="0" borderId="0" xfId="0" applyFont="1" applyAlignment="1">
      <alignment horizontal="center"/>
    </xf>
    <xf numFmtId="0" fontId="0" fillId="0" borderId="0" xfId="0" applyFont="1"/>
  </cellXfs>
  <cellStyles count="5">
    <cellStyle name="Comma" xfId="1" builtinId="3"/>
    <cellStyle name="Currency" xfId="2" builtinId="4"/>
    <cellStyle name="Hyperlink" xfId="3" builtinId="8"/>
    <cellStyle name="Normal" xfId="0" builtinId="0"/>
    <cellStyle name="Percent" xfId="4" builtinId="5"/>
  </cellStyles>
  <dxfs count="3">
    <dxf>
      <fill>
        <patternFill>
          <bgColor indexed="42"/>
        </patternFill>
      </fill>
    </dxf>
    <dxf>
      <fill>
        <patternFill>
          <bgColor indexed="42"/>
        </patternFill>
      </fill>
    </dxf>
    <dxf>
      <fill>
        <patternFill>
          <bgColor indexed="42"/>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A26" sqref="A26"/>
    </sheetView>
  </sheetViews>
  <sheetFormatPr baseColWidth="10" defaultColWidth="8.83203125" defaultRowHeight="12" x14ac:dyDescent="0"/>
  <cols>
    <col min="2" max="2" width="10.6640625" customWidth="1"/>
    <col min="3" max="3" width="8.5" customWidth="1"/>
  </cols>
  <sheetData>
    <row r="1" spans="1:1">
      <c r="A1" s="44" t="s">
        <v>63</v>
      </c>
    </row>
    <row r="2" spans="1:1">
      <c r="A2" s="44"/>
    </row>
    <row r="3" spans="1:1">
      <c r="A3" s="44" t="s">
        <v>65</v>
      </c>
    </row>
    <row r="4" spans="1:1">
      <c r="A4" t="s">
        <v>149</v>
      </c>
    </row>
    <row r="5" spans="1:1">
      <c r="A5" t="s">
        <v>64</v>
      </c>
    </row>
    <row r="6" spans="1:1">
      <c r="A6" t="s">
        <v>164</v>
      </c>
    </row>
    <row r="9" spans="1:1">
      <c r="A9" s="44" t="s">
        <v>66</v>
      </c>
    </row>
    <row r="10" spans="1:1">
      <c r="A10" t="s">
        <v>67</v>
      </c>
    </row>
    <row r="11" spans="1:1">
      <c r="A11" t="s">
        <v>71</v>
      </c>
    </row>
    <row r="12" spans="1:1">
      <c r="A12" t="s">
        <v>68</v>
      </c>
    </row>
    <row r="14" spans="1:1">
      <c r="A14" t="s">
        <v>70</v>
      </c>
    </row>
    <row r="15" spans="1:1">
      <c r="A15" s="19" t="s">
        <v>121</v>
      </c>
    </row>
    <row r="16" spans="1:1">
      <c r="A16" t="s">
        <v>69</v>
      </c>
    </row>
    <row r="17" spans="1:4">
      <c r="A17" t="s">
        <v>153</v>
      </c>
    </row>
    <row r="18" spans="1:4">
      <c r="A18" t="s">
        <v>122</v>
      </c>
    </row>
    <row r="20" spans="1:4">
      <c r="A20" t="s">
        <v>146</v>
      </c>
      <c r="C20" s="4" t="s">
        <v>147</v>
      </c>
      <c r="D20" t="s">
        <v>148</v>
      </c>
    </row>
    <row r="21" spans="1:4">
      <c r="A21" t="s">
        <v>154</v>
      </c>
    </row>
    <row r="22" spans="1:4">
      <c r="A22" t="s">
        <v>155</v>
      </c>
    </row>
    <row r="23" spans="1:4">
      <c r="A23" t="s">
        <v>156</v>
      </c>
    </row>
    <row r="25" spans="1:4">
      <c r="A25" t="s">
        <v>72</v>
      </c>
    </row>
    <row r="26" spans="1:4">
      <c r="A26" s="181" t="s">
        <v>168</v>
      </c>
    </row>
    <row r="27" spans="1:4">
      <c r="A27" s="44"/>
    </row>
    <row r="31" spans="1:4">
      <c r="A31" t="s">
        <v>166</v>
      </c>
    </row>
    <row r="32" spans="1:4">
      <c r="A32" t="s">
        <v>167</v>
      </c>
    </row>
  </sheetData>
  <phoneticPr fontId="3" type="noConversion"/>
  <pageMargins left="0.75" right="0.75" top="1" bottom="1" header="0.5" footer="0.5"/>
  <pageSetup orientation="portrait"/>
  <headerFooter>
    <oddFooter>&amp;L&amp;9Delmarva Power (C) 9-2005, 6-2009&amp;C&amp;9                    &amp;F     &amp;A&amp;R&amp;9&amp;D     &amp;T</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90"/>
  <sheetViews>
    <sheetView tabSelected="1" topLeftCell="A60" workbookViewId="0">
      <selection activeCell="H95" sqref="H95"/>
    </sheetView>
  </sheetViews>
  <sheetFormatPr baseColWidth="10" defaultColWidth="8.83203125" defaultRowHeight="12" x14ac:dyDescent="0"/>
  <cols>
    <col min="1" max="1" width="12.5" customWidth="1"/>
    <col min="2" max="2" width="12.1640625" customWidth="1"/>
    <col min="3" max="3" width="11.6640625" customWidth="1"/>
    <col min="4" max="4" width="12.5" customWidth="1"/>
    <col min="5" max="5" width="7.1640625" customWidth="1"/>
    <col min="6" max="6" width="10.83203125" customWidth="1"/>
    <col min="7" max="7" width="14.33203125" customWidth="1"/>
    <col min="8" max="8" width="12.5" bestFit="1" customWidth="1"/>
    <col min="9" max="9" width="9.5" bestFit="1" customWidth="1"/>
    <col min="10" max="10" width="6.6640625" customWidth="1"/>
    <col min="11" max="11" width="8.83203125" customWidth="1"/>
    <col min="12" max="12" width="11" customWidth="1"/>
    <col min="13" max="13" width="8.83203125" customWidth="1"/>
  </cols>
  <sheetData>
    <row r="1" spans="1:12" ht="25">
      <c r="A1" s="129" t="s">
        <v>117</v>
      </c>
      <c r="G1" s="30" t="s">
        <v>32</v>
      </c>
      <c r="H1" s="89" t="s">
        <v>35</v>
      </c>
    </row>
    <row r="2" spans="1:12">
      <c r="B2" s="25"/>
      <c r="C2" s="25"/>
      <c r="D2" s="24"/>
      <c r="F2" s="9" t="s">
        <v>36</v>
      </c>
      <c r="G2" s="62">
        <v>16000</v>
      </c>
      <c r="H2" s="63">
        <v>39000</v>
      </c>
    </row>
    <row r="3" spans="1:12">
      <c r="B3" s="24"/>
      <c r="C3" s="24"/>
      <c r="D3" s="24"/>
      <c r="F3" s="9" t="s">
        <v>15</v>
      </c>
      <c r="G3" s="11">
        <f>12*G4</f>
        <v>480</v>
      </c>
      <c r="H3" s="28">
        <f>H15*1000/H12</f>
        <v>113.12727272727273</v>
      </c>
      <c r="I3" s="77" t="s">
        <v>25</v>
      </c>
      <c r="J3" s="77" t="s">
        <v>90</v>
      </c>
      <c r="K3" s="77" t="s">
        <v>26</v>
      </c>
      <c r="L3" s="139" t="s">
        <v>95</v>
      </c>
    </row>
    <row r="4" spans="1:12">
      <c r="D4" s="24"/>
      <c r="F4" s="9" t="s">
        <v>57</v>
      </c>
      <c r="G4" s="40">
        <v>40</v>
      </c>
      <c r="H4" s="11" t="s">
        <v>12</v>
      </c>
      <c r="I4" s="11">
        <f>K4*5</f>
        <v>175</v>
      </c>
      <c r="J4" s="11">
        <v>5</v>
      </c>
      <c r="K4" s="40">
        <v>35</v>
      </c>
      <c r="L4" s="111" t="s">
        <v>109</v>
      </c>
    </row>
    <row r="5" spans="1:12" ht="13" thickBot="1">
      <c r="A5" s="110"/>
      <c r="B5" s="24"/>
      <c r="C5" s="24"/>
      <c r="F5" s="9" t="s">
        <v>102</v>
      </c>
      <c r="G5" s="28">
        <v>35</v>
      </c>
      <c r="H5" s="28">
        <f>G5</f>
        <v>35</v>
      </c>
      <c r="I5" s="140">
        <f>K5*2</f>
        <v>70</v>
      </c>
      <c r="J5" s="140">
        <v>2</v>
      </c>
      <c r="K5" s="40">
        <v>35</v>
      </c>
      <c r="L5" s="132" t="s">
        <v>110</v>
      </c>
    </row>
    <row r="6" spans="1:12">
      <c r="F6" s="9" t="s">
        <v>13</v>
      </c>
      <c r="G6" s="78">
        <f>K6</f>
        <v>12740</v>
      </c>
      <c r="H6" s="78">
        <f>G6</f>
        <v>12740</v>
      </c>
      <c r="I6" s="93">
        <f>SUM(I4:I5)</f>
        <v>245</v>
      </c>
      <c r="J6" s="133">
        <f>SUM(J4:J5)</f>
        <v>7</v>
      </c>
      <c r="K6" s="137">
        <f>(I4+I5)*52</f>
        <v>12740</v>
      </c>
      <c r="L6" s="11" t="s">
        <v>89</v>
      </c>
    </row>
    <row r="7" spans="1:12">
      <c r="F7" s="9" t="s">
        <v>23</v>
      </c>
      <c r="G7" s="31">
        <v>3.5910000000000002</v>
      </c>
      <c r="H7" s="11" t="s">
        <v>12</v>
      </c>
      <c r="K7" s="51"/>
    </row>
    <row r="8" spans="1:12">
      <c r="F8" s="9" t="s">
        <v>157</v>
      </c>
      <c r="G8" s="11" t="s">
        <v>14</v>
      </c>
      <c r="H8" s="3">
        <v>8.6999999999999994E-2</v>
      </c>
    </row>
    <row r="9" spans="1:12">
      <c r="D9" s="83"/>
      <c r="E9" s="84"/>
      <c r="F9" s="85" t="s">
        <v>22</v>
      </c>
      <c r="G9" s="79">
        <f>G7/G4</f>
        <v>8.9775000000000008E-2</v>
      </c>
      <c r="H9" s="80">
        <f>H8/(1000/H12)</f>
        <v>2.3924999999999998E-2</v>
      </c>
      <c r="I9" s="104">
        <f>H9/G9</f>
        <v>0.26649958228905596</v>
      </c>
      <c r="J9" s="144" t="s">
        <v>103</v>
      </c>
      <c r="K9" s="105"/>
      <c r="L9" s="105"/>
    </row>
    <row r="10" spans="1:12">
      <c r="F10" s="9" t="s">
        <v>17</v>
      </c>
      <c r="G10" s="18">
        <v>0.05</v>
      </c>
      <c r="H10" s="18">
        <v>0.05</v>
      </c>
    </row>
    <row r="11" spans="1:12">
      <c r="F11" s="9" t="s">
        <v>27</v>
      </c>
      <c r="G11" s="11" t="s">
        <v>14</v>
      </c>
      <c r="H11" s="4">
        <v>22</v>
      </c>
    </row>
    <row r="12" spans="1:12">
      <c r="F12" s="182" t="s">
        <v>169</v>
      </c>
      <c r="G12" s="11" t="s">
        <v>14</v>
      </c>
      <c r="H12" s="4">
        <v>275</v>
      </c>
    </row>
    <row r="13" spans="1:12">
      <c r="F13" s="9" t="s">
        <v>0</v>
      </c>
      <c r="G13" s="11" t="str">
        <f>G12</f>
        <v>For EVs only</v>
      </c>
      <c r="H13" s="4">
        <v>10</v>
      </c>
    </row>
    <row r="14" spans="1:12">
      <c r="F14" s="9" t="s">
        <v>170</v>
      </c>
      <c r="G14" s="11" t="str">
        <f>G13</f>
        <v>For EVs only</v>
      </c>
      <c r="H14" s="4">
        <v>36.6</v>
      </c>
    </row>
    <row r="15" spans="1:12">
      <c r="F15" s="9" t="s">
        <v>171</v>
      </c>
      <c r="G15" s="32" t="str">
        <f>G13</f>
        <v>For EVs only</v>
      </c>
      <c r="H15" s="116">
        <f>H14*0.85</f>
        <v>31.11</v>
      </c>
    </row>
    <row r="16" spans="1:12">
      <c r="F16" s="9" t="s">
        <v>172</v>
      </c>
      <c r="G16" s="32" t="str">
        <f>G14</f>
        <v>For EVs only</v>
      </c>
      <c r="H16" s="4">
        <v>16</v>
      </c>
      <c r="I16" s="90"/>
    </row>
    <row r="17" spans="1:15">
      <c r="F17" s="9" t="s">
        <v>173</v>
      </c>
      <c r="G17" s="32" t="str">
        <f>G14</f>
        <v>For EVs only</v>
      </c>
      <c r="H17" s="56">
        <f>1000/H16</f>
        <v>62.5</v>
      </c>
      <c r="I17" s="25"/>
    </row>
    <row r="18" spans="1:15">
      <c r="F18" s="9" t="s">
        <v>158</v>
      </c>
      <c r="G18" s="11" t="str">
        <f>G15</f>
        <v>For EVs only</v>
      </c>
      <c r="H18" s="6">
        <v>265</v>
      </c>
    </row>
    <row r="19" spans="1:15">
      <c r="F19" s="43" t="s">
        <v>159</v>
      </c>
      <c r="G19" s="11" t="str">
        <f>G18</f>
        <v>For EVs only</v>
      </c>
      <c r="H19" s="64">
        <f>H14*H18</f>
        <v>9699</v>
      </c>
    </row>
    <row r="20" spans="1:15">
      <c r="B20" s="39"/>
      <c r="C20" s="39"/>
      <c r="F20" s="9" t="s">
        <v>108</v>
      </c>
      <c r="G20" s="11" t="str">
        <f>G19</f>
        <v>For EVs only</v>
      </c>
      <c r="H20" s="5">
        <f>A87</f>
        <v>35.5625</v>
      </c>
      <c r="I20" s="136" t="s">
        <v>183</v>
      </c>
    </row>
    <row r="21" spans="1:15">
      <c r="F21" s="9" t="s">
        <v>174</v>
      </c>
      <c r="G21" s="11" t="str">
        <f>G18</f>
        <v>For EVs only</v>
      </c>
      <c r="H21" s="65">
        <f>$H$20/H17</f>
        <v>0.56899999999999995</v>
      </c>
      <c r="I21" s="68"/>
      <c r="J21" s="25"/>
    </row>
    <row r="22" spans="1:15">
      <c r="F22" s="9" t="s">
        <v>105</v>
      </c>
      <c r="G22" s="11" t="str">
        <f>G19</f>
        <v>For EVs only</v>
      </c>
      <c r="H22" s="22">
        <f>($H$21*$H$11*365)*0.333</f>
        <v>1521.5003099999999</v>
      </c>
      <c r="I22" s="145"/>
    </row>
    <row r="23" spans="1:15">
      <c r="F23" s="9" t="s">
        <v>175</v>
      </c>
      <c r="G23" s="11" t="str">
        <f>G20</f>
        <v>For EVs only</v>
      </c>
      <c r="H23" s="22">
        <f>($H$21*$H$11*365)</f>
        <v>4569.07</v>
      </c>
      <c r="I23" s="145"/>
      <c r="L23" s="76"/>
    </row>
    <row r="24" spans="1:15">
      <c r="F24" s="9"/>
      <c r="G24" s="51"/>
      <c r="H24" s="61"/>
      <c r="J24" s="19"/>
    </row>
    <row r="25" spans="1:15">
      <c r="A25" s="67">
        <v>1</v>
      </c>
      <c r="B25" s="66" t="s">
        <v>184</v>
      </c>
      <c r="F25" s="9"/>
      <c r="G25" s="51"/>
      <c r="H25" s="61"/>
    </row>
    <row r="26" spans="1:15">
      <c r="A26" s="67">
        <v>2</v>
      </c>
      <c r="B26" s="68" t="s">
        <v>94</v>
      </c>
      <c r="F26" s="9"/>
      <c r="G26" s="51"/>
      <c r="H26" s="61"/>
      <c r="L26" s="24"/>
    </row>
    <row r="27" spans="1:15">
      <c r="A27" s="67">
        <v>3</v>
      </c>
      <c r="B27" t="s">
        <v>28</v>
      </c>
      <c r="F27" s="9"/>
      <c r="G27" s="51"/>
      <c r="H27" s="61"/>
    </row>
    <row r="28" spans="1:15">
      <c r="A28" s="67">
        <v>4</v>
      </c>
      <c r="B28" s="69" t="s">
        <v>56</v>
      </c>
      <c r="F28" s="9"/>
      <c r="K28" s="14"/>
    </row>
    <row r="29" spans="1:15">
      <c r="A29" s="67">
        <v>5</v>
      </c>
      <c r="B29" s="187" t="s">
        <v>104</v>
      </c>
      <c r="F29" s="9"/>
      <c r="K29" s="87"/>
    </row>
    <row r="30" spans="1:15">
      <c r="A30" s="67"/>
      <c r="B30" s="70"/>
      <c r="F30" s="9"/>
      <c r="K30" s="152"/>
      <c r="L30" s="153"/>
      <c r="M30" s="153"/>
      <c r="N30" s="153"/>
      <c r="O30" s="153"/>
    </row>
    <row r="31" spans="1:15">
      <c r="B31" s="24"/>
      <c r="C31" s="7"/>
      <c r="D31" s="97"/>
      <c r="F31" s="9" t="s">
        <v>107</v>
      </c>
      <c r="G31" s="115">
        <f>((G6*465)/453)/2000</f>
        <v>6.5387417218543051</v>
      </c>
      <c r="H31" s="115">
        <f>((H6*83)/453)/2000</f>
        <v>1.167130242825607</v>
      </c>
      <c r="I31" s="46" t="s">
        <v>106</v>
      </c>
      <c r="K31" s="153"/>
      <c r="L31" s="153"/>
      <c r="M31" s="153"/>
      <c r="N31" s="153"/>
      <c r="O31" s="153"/>
    </row>
    <row r="32" spans="1:15">
      <c r="A32" s="19"/>
      <c r="B32" s="73"/>
      <c r="C32" s="74"/>
      <c r="K32" s="154"/>
      <c r="L32" s="153"/>
      <c r="M32" s="153"/>
      <c r="N32" s="153"/>
      <c r="O32" s="153"/>
    </row>
    <row r="33" spans="1:15">
      <c r="A33" s="8" t="s">
        <v>44</v>
      </c>
      <c r="G33" s="8" t="s">
        <v>111</v>
      </c>
      <c r="J33" s="8">
        <f>G6</f>
        <v>12740</v>
      </c>
      <c r="K33" s="155" t="s">
        <v>112</v>
      </c>
      <c r="L33" s="156"/>
      <c r="M33" s="156"/>
      <c r="N33" s="156"/>
      <c r="O33" s="156"/>
    </row>
    <row r="34" spans="1:15">
      <c r="A34" s="42" t="s">
        <v>39</v>
      </c>
      <c r="B34" s="42" t="s">
        <v>1</v>
      </c>
      <c r="C34" s="42" t="s">
        <v>41</v>
      </c>
      <c r="D34" s="42" t="s">
        <v>42</v>
      </c>
      <c r="G34" s="29" t="s">
        <v>34</v>
      </c>
      <c r="H34" s="26" t="s">
        <v>33</v>
      </c>
      <c r="K34" s="157"/>
      <c r="L34" s="158" t="s">
        <v>114</v>
      </c>
      <c r="M34" s="159"/>
      <c r="N34" s="159"/>
      <c r="O34" s="159"/>
    </row>
    <row r="35" spans="1:15">
      <c r="A35" s="93" t="s">
        <v>40</v>
      </c>
      <c r="B35" s="93" t="s">
        <v>40</v>
      </c>
      <c r="C35" s="93" t="s">
        <v>2</v>
      </c>
      <c r="D35" s="93" t="s">
        <v>43</v>
      </c>
      <c r="F35" s="102"/>
      <c r="G35" s="27" t="s">
        <v>50</v>
      </c>
      <c r="H35" s="22">
        <f>(-$H$21*$H$11*365)+H22</f>
        <v>-3047.5696899999998</v>
      </c>
      <c r="I35" s="102" t="s">
        <v>5</v>
      </c>
      <c r="K35" s="159"/>
      <c r="L35" s="160" t="s">
        <v>113</v>
      </c>
      <c r="M35" s="159"/>
      <c r="N35" s="159"/>
      <c r="O35" s="159"/>
    </row>
    <row r="36" spans="1:15">
      <c r="A36" s="6">
        <v>30</v>
      </c>
      <c r="B36" s="2">
        <v>3500</v>
      </c>
      <c r="C36" s="20">
        <f t="shared" ref="C36:C41" si="0">A36/B36</f>
        <v>8.5714285714285719E-3</v>
      </c>
      <c r="D36" s="96" t="s">
        <v>12</v>
      </c>
      <c r="E36" t="s">
        <v>3</v>
      </c>
      <c r="G36" s="173">
        <f>$G$6*$C$36</f>
        <v>109.2</v>
      </c>
      <c r="H36" s="174" t="s">
        <v>12</v>
      </c>
      <c r="I36" t="s">
        <v>3</v>
      </c>
      <c r="K36" s="159"/>
      <c r="L36" s="163">
        <f>$J$33*C36*10</f>
        <v>1092</v>
      </c>
      <c r="M36" s="159"/>
      <c r="N36" s="159"/>
      <c r="O36" s="159"/>
    </row>
    <row r="37" spans="1:15">
      <c r="A37" s="6">
        <v>550</v>
      </c>
      <c r="B37" s="2">
        <v>65000</v>
      </c>
      <c r="C37" s="20">
        <f t="shared" si="0"/>
        <v>8.4615384615384613E-3</v>
      </c>
      <c r="D37" s="96" t="str">
        <f>D36</f>
        <v>n/a</v>
      </c>
      <c r="E37" t="s">
        <v>51</v>
      </c>
      <c r="G37" s="173">
        <f>$G$6*$C$37</f>
        <v>107.8</v>
      </c>
      <c r="H37" s="174" t="s">
        <v>12</v>
      </c>
      <c r="I37" t="s">
        <v>51</v>
      </c>
      <c r="K37" s="161"/>
      <c r="L37" s="163">
        <f>$J$33*C37*10</f>
        <v>1078</v>
      </c>
      <c r="M37" s="159"/>
      <c r="N37" s="159"/>
      <c r="O37" s="159"/>
    </row>
    <row r="38" spans="1:15">
      <c r="A38" s="6">
        <v>550</v>
      </c>
      <c r="B38" s="2">
        <v>130000</v>
      </c>
      <c r="C38" s="96" t="s">
        <v>12</v>
      </c>
      <c r="D38" s="20">
        <f>A38/B38</f>
        <v>4.2307692307692307E-3</v>
      </c>
      <c r="E38" t="s">
        <v>52</v>
      </c>
      <c r="G38" s="174" t="s">
        <v>12</v>
      </c>
      <c r="H38" s="173">
        <f>$G$6*$D$38</f>
        <v>53.9</v>
      </c>
      <c r="I38" t="s">
        <v>55</v>
      </c>
      <c r="K38" s="159"/>
      <c r="L38" s="163">
        <f>$J$33*D38*10</f>
        <v>539</v>
      </c>
      <c r="M38" s="159"/>
      <c r="N38" s="159"/>
      <c r="O38" s="159"/>
    </row>
    <row r="39" spans="1:15">
      <c r="A39" s="6">
        <v>300</v>
      </c>
      <c r="B39" s="2">
        <v>50000</v>
      </c>
      <c r="C39" s="20">
        <f t="shared" si="0"/>
        <v>6.0000000000000001E-3</v>
      </c>
      <c r="D39" s="96" t="str">
        <f>D36</f>
        <v>n/a</v>
      </c>
      <c r="E39" t="s">
        <v>4</v>
      </c>
      <c r="G39" s="173">
        <f>$G$6*$C$39</f>
        <v>76.44</v>
      </c>
      <c r="H39" s="174" t="s">
        <v>12</v>
      </c>
      <c r="I39" t="s">
        <v>4</v>
      </c>
      <c r="K39" s="159"/>
      <c r="L39" s="163">
        <f>$J$33*C39*10</f>
        <v>764.4</v>
      </c>
      <c r="M39" s="159"/>
      <c r="N39" s="159"/>
      <c r="O39" s="159"/>
    </row>
    <row r="40" spans="1:15">
      <c r="A40" s="6">
        <v>250</v>
      </c>
      <c r="B40" s="2">
        <v>50000</v>
      </c>
      <c r="C40" s="20">
        <f t="shared" si="0"/>
        <v>5.0000000000000001E-3</v>
      </c>
      <c r="D40" s="96" t="str">
        <f>D36</f>
        <v>n/a</v>
      </c>
      <c r="E40" t="s">
        <v>47</v>
      </c>
      <c r="G40" s="173">
        <f>$G$6*$C$40</f>
        <v>63.7</v>
      </c>
      <c r="H40" s="174" t="s">
        <v>12</v>
      </c>
      <c r="I40" t="s">
        <v>47</v>
      </c>
      <c r="K40" s="159"/>
      <c r="L40" s="163">
        <f>$J$33*C40*10</f>
        <v>637</v>
      </c>
      <c r="M40" s="159"/>
      <c r="N40" s="159"/>
      <c r="O40" s="159"/>
    </row>
    <row r="41" spans="1:15">
      <c r="A41" s="6">
        <v>2000</v>
      </c>
      <c r="B41" s="2">
        <v>100000</v>
      </c>
      <c r="C41" s="20">
        <f t="shared" si="0"/>
        <v>0.02</v>
      </c>
      <c r="D41" s="96" t="str">
        <f>D36</f>
        <v>n/a</v>
      </c>
      <c r="E41" t="s">
        <v>48</v>
      </c>
      <c r="G41" s="173">
        <f>$G$6*$C$41</f>
        <v>254.8</v>
      </c>
      <c r="H41" s="174" t="s">
        <v>12</v>
      </c>
      <c r="I41" t="s">
        <v>48</v>
      </c>
      <c r="K41" s="159"/>
      <c r="L41" s="163">
        <f>$J$33*C41*10</f>
        <v>2548</v>
      </c>
      <c r="M41" s="159"/>
      <c r="N41" s="159"/>
      <c r="O41" s="159"/>
    </row>
    <row r="42" spans="1:15">
      <c r="A42" s="94">
        <f>H19</f>
        <v>9699</v>
      </c>
      <c r="B42" s="95">
        <f>G6*H13</f>
        <v>127400</v>
      </c>
      <c r="C42" s="96" t="s">
        <v>12</v>
      </c>
      <c r="D42" s="96">
        <f>A42/B42</f>
        <v>7.6130298273155414E-2</v>
      </c>
      <c r="E42" t="s">
        <v>49</v>
      </c>
      <c r="G42" s="174" t="s">
        <v>12</v>
      </c>
      <c r="H42" s="173">
        <f>$G$6*D42</f>
        <v>969.9</v>
      </c>
      <c r="I42" t="s">
        <v>116</v>
      </c>
      <c r="K42" s="159"/>
      <c r="L42" s="163">
        <f>$J$33*D42*10</f>
        <v>9699</v>
      </c>
      <c r="M42" s="159"/>
      <c r="N42" s="159"/>
      <c r="O42" s="159"/>
    </row>
    <row r="43" spans="1:15" ht="13" thickBot="1">
      <c r="A43" s="100" t="s">
        <v>46</v>
      </c>
      <c r="B43" s="99"/>
      <c r="C43" s="101">
        <f>G9</f>
        <v>8.9775000000000008E-2</v>
      </c>
      <c r="D43" s="101">
        <f>H9</f>
        <v>2.3924999999999998E-2</v>
      </c>
      <c r="G43" s="175" t="s">
        <v>53</v>
      </c>
      <c r="H43" s="175" t="s">
        <v>53</v>
      </c>
      <c r="I43" s="46" t="s">
        <v>54</v>
      </c>
      <c r="K43" s="159"/>
      <c r="L43" s="162"/>
      <c r="M43" s="159"/>
      <c r="N43" s="159"/>
      <c r="O43" s="159"/>
    </row>
    <row r="44" spans="1:15">
      <c r="A44" s="44" t="s">
        <v>18</v>
      </c>
      <c r="B44" s="24"/>
      <c r="C44" s="65">
        <f>SUM(C36:C43)</f>
        <v>0.13780796703296705</v>
      </c>
      <c r="D44" s="148">
        <f>SUM(D38:D43)</f>
        <v>0.10428606750392465</v>
      </c>
      <c r="E44" s="146"/>
      <c r="G44" s="176">
        <f>SUM(G36:G42)</f>
        <v>611.94000000000005</v>
      </c>
      <c r="H44" s="176">
        <f>SUM(H35:H42)</f>
        <v>-2023.7696899999996</v>
      </c>
      <c r="I44" s="106" t="s">
        <v>115</v>
      </c>
      <c r="K44" s="159"/>
      <c r="L44" s="162"/>
      <c r="M44" s="159"/>
      <c r="N44" s="159"/>
      <c r="O44" s="159"/>
    </row>
    <row r="45" spans="1:15">
      <c r="A45" s="98" t="s">
        <v>45</v>
      </c>
      <c r="B45" s="24"/>
      <c r="C45" s="7"/>
      <c r="D45" s="97"/>
      <c r="E45" s="147"/>
      <c r="H45" s="46"/>
      <c r="I45" s="46"/>
      <c r="K45" s="159"/>
      <c r="L45" s="159"/>
      <c r="M45" s="159"/>
      <c r="N45" s="159"/>
      <c r="O45" s="159"/>
    </row>
    <row r="46" spans="1:15">
      <c r="K46" s="164"/>
      <c r="L46" s="164"/>
      <c r="M46" s="159"/>
      <c r="N46" s="159"/>
      <c r="O46" s="159"/>
    </row>
    <row r="47" spans="1:15" ht="13" thickBot="1">
      <c r="A47" s="8" t="s">
        <v>6</v>
      </c>
      <c r="D47" s="193" t="s">
        <v>9</v>
      </c>
      <c r="E47" s="194"/>
      <c r="F47" s="195"/>
      <c r="G47" s="22">
        <f>G2</f>
        <v>16000</v>
      </c>
      <c r="H47" s="22">
        <f>H2</f>
        <v>39000</v>
      </c>
      <c r="J47" s="25"/>
      <c r="K47" s="47"/>
    </row>
    <row r="48" spans="1:15" ht="13" thickBot="1">
      <c r="A48" s="208" t="s">
        <v>21</v>
      </c>
      <c r="B48" s="209"/>
      <c r="C48" s="210"/>
      <c r="D48" s="215" t="s">
        <v>161</v>
      </c>
      <c r="E48" s="216"/>
      <c r="F48" s="217"/>
      <c r="G48" s="23" t="s">
        <v>50</v>
      </c>
      <c r="H48" s="109">
        <v>0</v>
      </c>
      <c r="I48" s="42" t="s">
        <v>16</v>
      </c>
      <c r="K48" s="204" t="s">
        <v>60</v>
      </c>
      <c r="L48" s="205"/>
    </row>
    <row r="49" spans="1:12" ht="13" thickBot="1">
      <c r="A49" s="59" t="s">
        <v>20</v>
      </c>
      <c r="B49" s="57" t="s">
        <v>31</v>
      </c>
      <c r="C49" s="58" t="s">
        <v>8</v>
      </c>
      <c r="D49" s="112" t="s">
        <v>58</v>
      </c>
      <c r="E49" s="211" t="s">
        <v>59</v>
      </c>
      <c r="F49" s="212"/>
      <c r="G49" s="37" t="str">
        <f>G34</f>
        <v>Gas Powered:</v>
      </c>
      <c r="H49" s="38" t="str">
        <f>H66</f>
        <v>Electric:</v>
      </c>
      <c r="I49" s="41" t="s">
        <v>1</v>
      </c>
      <c r="J49" s="113" t="s">
        <v>7</v>
      </c>
      <c r="K49" s="206" t="s">
        <v>61</v>
      </c>
      <c r="L49" s="207"/>
    </row>
    <row r="50" spans="1:12">
      <c r="A50" s="53">
        <f>H20</f>
        <v>35.5625</v>
      </c>
      <c r="B50" s="52">
        <f>H8</f>
        <v>8.6999999999999994E-2</v>
      </c>
      <c r="C50" s="54">
        <f>G7</f>
        <v>3.5910000000000002</v>
      </c>
      <c r="D50" s="33">
        <f t="shared" ref="D50:D59" si="1">B50/(1000/$H$12)*$G$6</f>
        <v>304.80449999999996</v>
      </c>
      <c r="E50" s="213">
        <f t="shared" ref="E50:E59" si="2">C50/$G$4*$G$6</f>
        <v>1143.7335</v>
      </c>
      <c r="F50" s="214"/>
      <c r="G50" s="34">
        <f>$G$47+$G$44+E50</f>
        <v>17755.673499999997</v>
      </c>
      <c r="H50" s="34">
        <f>$H$47+$H$48+$H$44+D50</f>
        <v>37281.034809999997</v>
      </c>
      <c r="I50" s="35">
        <f>G6</f>
        <v>12740</v>
      </c>
      <c r="J50" s="36">
        <v>1</v>
      </c>
      <c r="K50" s="188">
        <f>E50-D50</f>
        <v>838.92900000000009</v>
      </c>
      <c r="L50" s="189"/>
    </row>
    <row r="51" spans="1:12">
      <c r="A51" s="45">
        <f t="shared" ref="A51:B59" si="3">A50*(1+($G$10))</f>
        <v>37.340625000000003</v>
      </c>
      <c r="B51" s="20">
        <f t="shared" si="3"/>
        <v>9.1350000000000001E-2</v>
      </c>
      <c r="C51" s="16">
        <f t="shared" ref="C51:C59" si="4">C50*(1+($G$10))</f>
        <v>3.7705500000000005</v>
      </c>
      <c r="D51" s="15">
        <f t="shared" si="1"/>
        <v>320.04472500000003</v>
      </c>
      <c r="E51" s="202">
        <f t="shared" si="2"/>
        <v>1200.9201750000002</v>
      </c>
      <c r="F51" s="203"/>
      <c r="G51" s="12">
        <f t="shared" ref="G51:G59" si="5">G50+E51+$G$44</f>
        <v>19568.533674999995</v>
      </c>
      <c r="H51" s="12">
        <f t="shared" ref="H51:H59" si="6">H50+D51+((-$A51/$H$17)*$H$11*365+2000)+$H$38+$H$42</f>
        <v>35827.356034999997</v>
      </c>
      <c r="I51" s="13">
        <f t="shared" ref="I51:I59" si="7">$G$6*J51</f>
        <v>25480</v>
      </c>
      <c r="J51" s="11">
        <v>2</v>
      </c>
      <c r="K51" s="188">
        <f t="shared" ref="K51:K59" si="8">E51-D51</f>
        <v>880.87545000000023</v>
      </c>
      <c r="L51" s="189"/>
    </row>
    <row r="52" spans="1:12">
      <c r="A52" s="45">
        <f t="shared" si="3"/>
        <v>39.207656250000007</v>
      </c>
      <c r="B52" s="20">
        <f t="shared" si="3"/>
        <v>9.5917500000000003E-2</v>
      </c>
      <c r="C52" s="16">
        <f t="shared" si="4"/>
        <v>3.9590775000000007</v>
      </c>
      <c r="D52" s="15">
        <f t="shared" si="1"/>
        <v>336.04696125000004</v>
      </c>
      <c r="E52" s="202">
        <f t="shared" si="2"/>
        <v>1260.9661837500003</v>
      </c>
      <c r="F52" s="203"/>
      <c r="G52" s="12">
        <f t="shared" si="5"/>
        <v>21441.439858749993</v>
      </c>
      <c r="H52" s="12">
        <f t="shared" si="6"/>
        <v>34149.803321250001</v>
      </c>
      <c r="I52" s="13">
        <f t="shared" si="7"/>
        <v>38220</v>
      </c>
      <c r="J52" s="11">
        <v>3</v>
      </c>
      <c r="K52" s="188">
        <f t="shared" si="8"/>
        <v>924.91922250000016</v>
      </c>
      <c r="L52" s="189"/>
    </row>
    <row r="53" spans="1:12">
      <c r="A53" s="45">
        <f t="shared" si="3"/>
        <v>41.168039062500007</v>
      </c>
      <c r="B53" s="20">
        <f t="shared" si="3"/>
        <v>0.10071337500000001</v>
      </c>
      <c r="C53" s="16">
        <f t="shared" si="4"/>
        <v>4.1570313750000008</v>
      </c>
      <c r="D53" s="15">
        <f t="shared" si="1"/>
        <v>352.8493093125</v>
      </c>
      <c r="E53" s="202">
        <f t="shared" si="2"/>
        <v>1324.0144929375003</v>
      </c>
      <c r="F53" s="203"/>
      <c r="G53" s="12">
        <f t="shared" si="5"/>
        <v>23377.394351687493</v>
      </c>
      <c r="H53" s="12">
        <f t="shared" si="6"/>
        <v>32237.182971812501</v>
      </c>
      <c r="I53" s="13">
        <f t="shared" si="7"/>
        <v>50960</v>
      </c>
      <c r="J53" s="11">
        <v>4</v>
      </c>
      <c r="K53" s="188">
        <f t="shared" si="8"/>
        <v>971.16518362500028</v>
      </c>
      <c r="L53" s="189"/>
    </row>
    <row r="54" spans="1:12">
      <c r="A54" s="45">
        <f t="shared" si="3"/>
        <v>43.226441015625007</v>
      </c>
      <c r="B54" s="20">
        <f t="shared" si="3"/>
        <v>0.10574904375000001</v>
      </c>
      <c r="C54" s="16">
        <f t="shared" si="4"/>
        <v>4.3648829437500014</v>
      </c>
      <c r="D54" s="15">
        <f t="shared" si="1"/>
        <v>370.49177477812503</v>
      </c>
      <c r="E54" s="202">
        <f t="shared" si="2"/>
        <v>1390.2152175843755</v>
      </c>
      <c r="F54" s="203"/>
      <c r="G54" s="12">
        <f t="shared" si="5"/>
        <v>25379.549569271869</v>
      </c>
      <c r="H54" s="12">
        <f t="shared" si="6"/>
        <v>30077.741604903131</v>
      </c>
      <c r="I54" s="13">
        <f t="shared" si="7"/>
        <v>63700</v>
      </c>
      <c r="J54" s="11">
        <v>5</v>
      </c>
      <c r="K54" s="188">
        <f t="shared" si="8"/>
        <v>1019.7234428062504</v>
      </c>
      <c r="L54" s="189"/>
    </row>
    <row r="55" spans="1:12">
      <c r="A55" s="45">
        <f t="shared" si="3"/>
        <v>45.387763066406258</v>
      </c>
      <c r="B55" s="20">
        <f t="shared" si="3"/>
        <v>0.11103649593750001</v>
      </c>
      <c r="C55" s="16">
        <f t="shared" si="4"/>
        <v>4.5831270909375013</v>
      </c>
      <c r="D55" s="15">
        <f t="shared" si="1"/>
        <v>389.01636351703127</v>
      </c>
      <c r="E55" s="202">
        <f t="shared" si="2"/>
        <v>1459.7259784635942</v>
      </c>
      <c r="F55" s="203"/>
      <c r="G55" s="12">
        <f t="shared" si="5"/>
        <v>27451.215547735461</v>
      </c>
      <c r="H55" s="12">
        <f t="shared" si="6"/>
        <v>27659.138169648289</v>
      </c>
      <c r="I55" s="13">
        <f t="shared" si="7"/>
        <v>76440</v>
      </c>
      <c r="J55" s="11">
        <v>6</v>
      </c>
      <c r="K55" s="188">
        <f t="shared" si="8"/>
        <v>1070.7096149465629</v>
      </c>
      <c r="L55" s="189"/>
    </row>
    <row r="56" spans="1:12">
      <c r="A56" s="45">
        <f t="shared" si="3"/>
        <v>47.657151219726572</v>
      </c>
      <c r="B56" s="20">
        <f t="shared" si="3"/>
        <v>0.11658832073437501</v>
      </c>
      <c r="C56" s="16">
        <f t="shared" si="4"/>
        <v>4.8122834454843764</v>
      </c>
      <c r="D56" s="15">
        <f t="shared" si="1"/>
        <v>408.46718169288283</v>
      </c>
      <c r="E56" s="202">
        <f t="shared" si="2"/>
        <v>1532.7122773867738</v>
      </c>
      <c r="F56" s="203"/>
      <c r="G56" s="12">
        <f t="shared" si="5"/>
        <v>29595.867825122234</v>
      </c>
      <c r="H56" s="12">
        <f t="shared" si="6"/>
        <v>24968.414562630707</v>
      </c>
      <c r="I56" s="13">
        <f t="shared" si="7"/>
        <v>89180</v>
      </c>
      <c r="J56" s="11">
        <v>7</v>
      </c>
      <c r="K56" s="188">
        <f t="shared" si="8"/>
        <v>1124.245095693891</v>
      </c>
      <c r="L56" s="189"/>
    </row>
    <row r="57" spans="1:12">
      <c r="A57" s="45">
        <f t="shared" si="3"/>
        <v>50.040008780712903</v>
      </c>
      <c r="B57" s="20">
        <f t="shared" si="3"/>
        <v>0.12241773677109377</v>
      </c>
      <c r="C57" s="16">
        <f t="shared" si="4"/>
        <v>5.0528976177585951</v>
      </c>
      <c r="D57" s="15">
        <f t="shared" si="1"/>
        <v>428.89054077752706</v>
      </c>
      <c r="E57" s="202">
        <f t="shared" si="2"/>
        <v>1609.3478912561125</v>
      </c>
      <c r="F57" s="203"/>
      <c r="G57" s="12">
        <f t="shared" si="5"/>
        <v>31817.155716378344</v>
      </c>
      <c r="H57" s="12">
        <f t="shared" si="6"/>
        <v>21991.964775262244</v>
      </c>
      <c r="I57" s="13">
        <f t="shared" si="7"/>
        <v>101920</v>
      </c>
      <c r="J57" s="11">
        <v>8</v>
      </c>
      <c r="K57" s="188">
        <f t="shared" si="8"/>
        <v>1180.4573504785853</v>
      </c>
      <c r="L57" s="189"/>
    </row>
    <row r="58" spans="1:12">
      <c r="A58" s="45">
        <f t="shared" si="3"/>
        <v>52.54200921974855</v>
      </c>
      <c r="B58" s="20">
        <f t="shared" si="3"/>
        <v>0.12853862360964846</v>
      </c>
      <c r="C58" s="16">
        <f t="shared" si="4"/>
        <v>5.3055424986465249</v>
      </c>
      <c r="D58" s="15">
        <f t="shared" si="1"/>
        <v>450.33506781640341</v>
      </c>
      <c r="E58" s="202">
        <f t="shared" si="2"/>
        <v>1689.8152858189183</v>
      </c>
      <c r="F58" s="203"/>
      <c r="G58" s="12">
        <f t="shared" si="5"/>
        <v>34118.911002197266</v>
      </c>
      <c r="H58" s="12">
        <f t="shared" si="6"/>
        <v>18715.502498525355</v>
      </c>
      <c r="I58" s="13">
        <f t="shared" si="7"/>
        <v>114660</v>
      </c>
      <c r="J58" s="11">
        <v>9</v>
      </c>
      <c r="K58" s="188">
        <f t="shared" si="8"/>
        <v>1239.4802180025149</v>
      </c>
      <c r="L58" s="189"/>
    </row>
    <row r="59" spans="1:12" ht="13" thickBot="1">
      <c r="A59" s="45">
        <f t="shared" si="3"/>
        <v>55.169109680735978</v>
      </c>
      <c r="B59" s="55">
        <f t="shared" si="3"/>
        <v>0.13496555479013089</v>
      </c>
      <c r="C59" s="17">
        <f t="shared" si="4"/>
        <v>5.5708196235788519</v>
      </c>
      <c r="D59" s="15">
        <f t="shared" si="1"/>
        <v>472.85182120722362</v>
      </c>
      <c r="E59" s="202">
        <f t="shared" si="2"/>
        <v>1774.3060501098644</v>
      </c>
      <c r="F59" s="203"/>
      <c r="G59" s="12">
        <f t="shared" si="5"/>
        <v>36505.157052307135</v>
      </c>
      <c r="H59" s="12">
        <f t="shared" si="6"/>
        <v>15124.027107951621</v>
      </c>
      <c r="I59" s="13">
        <f t="shared" si="7"/>
        <v>127400</v>
      </c>
      <c r="J59" s="11">
        <v>10</v>
      </c>
      <c r="K59" s="188">
        <f t="shared" si="8"/>
        <v>1301.4542289026408</v>
      </c>
      <c r="L59" s="189"/>
    </row>
    <row r="60" spans="1:12">
      <c r="B60" s="46"/>
      <c r="C60" s="46"/>
      <c r="D60" s="47"/>
      <c r="E60" s="48"/>
      <c r="F60" s="48"/>
      <c r="G60" s="49"/>
      <c r="H60" s="49"/>
      <c r="I60" s="50"/>
      <c r="J60" s="51"/>
      <c r="K60" s="188">
        <f>SUM(K50:K59)</f>
        <v>10551.958806955445</v>
      </c>
      <c r="L60" s="189"/>
    </row>
    <row r="61" spans="1:12">
      <c r="A61" t="s">
        <v>10</v>
      </c>
      <c r="B61" s="19" t="s">
        <v>19</v>
      </c>
    </row>
    <row r="62" spans="1:12">
      <c r="B62" t="s">
        <v>118</v>
      </c>
    </row>
    <row r="63" spans="1:12">
      <c r="B63" t="s">
        <v>24</v>
      </c>
    </row>
    <row r="64" spans="1:12">
      <c r="B64" t="s">
        <v>119</v>
      </c>
    </row>
    <row r="65" spans="1:11">
      <c r="E65" s="10"/>
    </row>
    <row r="66" spans="1:11">
      <c r="A66" s="8" t="s">
        <v>11</v>
      </c>
      <c r="E66" s="10"/>
      <c r="G66" s="29" t="str">
        <f>G34</f>
        <v>Gas Powered:</v>
      </c>
      <c r="H66" s="26" t="str">
        <f>H34</f>
        <v>Electric:</v>
      </c>
    </row>
    <row r="67" spans="1:11">
      <c r="A67" s="8"/>
      <c r="D67" s="199" t="s">
        <v>162</v>
      </c>
      <c r="E67" s="200"/>
      <c r="F67" s="201"/>
      <c r="G67" s="165">
        <f>G2</f>
        <v>16000</v>
      </c>
      <c r="H67" s="165">
        <f>H2</f>
        <v>39000</v>
      </c>
    </row>
    <row r="68" spans="1:11">
      <c r="D68" s="199" t="s">
        <v>29</v>
      </c>
      <c r="E68" s="200"/>
      <c r="F68" s="201"/>
      <c r="G68" s="166">
        <f>G67*0.05</f>
        <v>800</v>
      </c>
      <c r="H68" s="166">
        <f>H67*0.05</f>
        <v>1950</v>
      </c>
    </row>
    <row r="69" spans="1:11">
      <c r="D69" s="199" t="s">
        <v>30</v>
      </c>
      <c r="E69" s="200"/>
      <c r="F69" s="201"/>
      <c r="G69" s="166">
        <f>G67-G68</f>
        <v>15200</v>
      </c>
      <c r="H69" s="166">
        <f>H67-H68</f>
        <v>37050</v>
      </c>
    </row>
    <row r="70" spans="1:11" ht="12.75" customHeight="1">
      <c r="A70" s="8"/>
      <c r="B70" s="8"/>
      <c r="D70" s="196" t="s">
        <v>152</v>
      </c>
      <c r="E70" s="197"/>
      <c r="F70" s="198"/>
      <c r="G70" s="166">
        <f>-PMT(0.06/12,72,G69)</f>
        <v>251.90789598077743</v>
      </c>
      <c r="H70" s="166">
        <f>-PMT(0.06/12,72,H69)</f>
        <v>614.02549645314502</v>
      </c>
    </row>
    <row r="71" spans="1:11">
      <c r="A71" s="8"/>
      <c r="B71" s="8"/>
      <c r="D71" s="190" t="s">
        <v>120</v>
      </c>
      <c r="E71" s="191"/>
      <c r="F71" s="192"/>
      <c r="G71" s="21" t="s">
        <v>50</v>
      </c>
      <c r="H71" s="166">
        <f>((($H$11*($A$50/$H$17)*365)-$H$22)/12+(($H$11*($A$51/$H$17)*365)-$H$22)/12+(($H$11*($A$52/$H$17)*365)-$H$22)/12+(($H$11*($A$53/$H$17)*365)-$H$22)/12+(($H$11*($A$54/$H$17)*365)-$H$22)/12+(($H$11*($A$55/$H$17)*365)-$H$22)/12+(($H$11*($A$56/$H$17)*365)-$H$22)/12+(($H$11*($A$57/$H$17)*365)-$H$22)/12+(($H$11*($A$58/$H$17)*365)-$H$22)/12+(($H$11*($A$59/$H$17)*365)-$H$22)/12)/-10</f>
        <v>-352.11890289500076</v>
      </c>
      <c r="K71" s="88"/>
    </row>
    <row r="72" spans="1:11">
      <c r="A72" s="8"/>
      <c r="B72" s="8"/>
      <c r="D72" s="149"/>
      <c r="E72" s="150" t="s">
        <v>150</v>
      </c>
      <c r="F72" s="151"/>
      <c r="G72" s="21" t="s">
        <v>50</v>
      </c>
      <c r="H72" s="166">
        <f>-K60/120</f>
        <v>-87.932990057962044</v>
      </c>
      <c r="K72" s="88"/>
    </row>
    <row r="73" spans="1:11">
      <c r="A73" s="8"/>
      <c r="B73" s="8"/>
      <c r="D73" s="149"/>
      <c r="E73" s="150" t="s">
        <v>151</v>
      </c>
      <c r="F73" s="151"/>
      <c r="G73" s="166">
        <f>G70</f>
        <v>251.90789598077743</v>
      </c>
      <c r="H73" s="166">
        <f>H70+H71+H72</f>
        <v>173.97360350018221</v>
      </c>
      <c r="K73" s="88"/>
    </row>
    <row r="74" spans="1:11">
      <c r="A74" s="103" t="s">
        <v>62</v>
      </c>
      <c r="B74" s="8"/>
      <c r="D74" s="10"/>
      <c r="F74" s="1"/>
      <c r="G74" s="86"/>
      <c r="H74" s="82"/>
      <c r="I74" s="19"/>
    </row>
    <row r="75" spans="1:11">
      <c r="B75" s="75"/>
      <c r="C75" s="71"/>
      <c r="D75" s="72"/>
      <c r="E75" s="60"/>
      <c r="F75" s="1"/>
      <c r="G75" s="1"/>
      <c r="H75" s="81"/>
      <c r="I75" s="114"/>
      <c r="J75" s="19"/>
    </row>
    <row r="76" spans="1:11">
      <c r="A76" s="44" t="s">
        <v>182</v>
      </c>
      <c r="G76" s="44"/>
    </row>
    <row r="77" spans="1:11">
      <c r="A77" s="92" t="s">
        <v>37</v>
      </c>
      <c r="B77" s="92"/>
      <c r="G77" s="178"/>
      <c r="H77" s="25"/>
      <c r="I77" s="25"/>
      <c r="J77" s="25"/>
    </row>
    <row r="78" spans="1:11">
      <c r="A78" s="91" t="s">
        <v>38</v>
      </c>
      <c r="B78" s="91" t="s">
        <v>91</v>
      </c>
      <c r="G78" s="179"/>
      <c r="H78" s="25"/>
      <c r="I78" s="25"/>
      <c r="J78" s="25"/>
    </row>
    <row r="79" spans="1:11">
      <c r="A79" s="107">
        <v>18.079999999999998</v>
      </c>
      <c r="B79" s="167">
        <v>2010</v>
      </c>
      <c r="G79" s="179"/>
      <c r="H79" s="25"/>
      <c r="I79" s="25"/>
      <c r="J79" s="25"/>
    </row>
    <row r="80" spans="1:11">
      <c r="A80" s="107">
        <v>23.56</v>
      </c>
      <c r="B80" s="167">
        <v>2009</v>
      </c>
      <c r="G80" s="179"/>
      <c r="H80" s="25"/>
      <c r="I80" s="25"/>
      <c r="J80" s="25"/>
    </row>
    <row r="81" spans="1:10">
      <c r="A81" s="107">
        <v>41.09</v>
      </c>
      <c r="B81" s="108">
        <v>2008</v>
      </c>
      <c r="G81" s="180"/>
      <c r="H81" s="25"/>
      <c r="I81" s="25"/>
      <c r="J81" s="25"/>
    </row>
    <row r="82" spans="1:10">
      <c r="A82" s="107">
        <v>35.36</v>
      </c>
      <c r="B82" s="108">
        <v>2007</v>
      </c>
    </row>
    <row r="83" spans="1:10">
      <c r="A83" s="117">
        <v>31.18</v>
      </c>
      <c r="B83" s="118">
        <v>2006</v>
      </c>
    </row>
    <row r="84" spans="1:10">
      <c r="A84" s="117">
        <v>49.73</v>
      </c>
      <c r="B84" s="118">
        <v>2005</v>
      </c>
    </row>
    <row r="85" spans="1:10">
      <c r="A85" s="117">
        <v>42.75</v>
      </c>
      <c r="B85" s="118">
        <v>2004</v>
      </c>
    </row>
    <row r="86" spans="1:10" ht="13" thickBot="1">
      <c r="A86" s="107">
        <v>42.75</v>
      </c>
      <c r="B86" s="108">
        <v>2003</v>
      </c>
    </row>
    <row r="87" spans="1:10" ht="13" thickBot="1">
      <c r="A87" s="134">
        <f>((A86*12)+(A85*12)+(A84*12)+(A83*12)+(A82*12)+(A81*12)+(A80*12)+(A79*12))/96</f>
        <v>35.5625</v>
      </c>
      <c r="B87" s="135" t="s">
        <v>37</v>
      </c>
      <c r="D87" s="76"/>
    </row>
    <row r="88" spans="1:10">
      <c r="A88" s="181" t="s">
        <v>185</v>
      </c>
      <c r="D88" s="76"/>
    </row>
    <row r="90" spans="1:10">
      <c r="A90" s="220" t="s">
        <v>186</v>
      </c>
    </row>
  </sheetData>
  <mergeCells count="32">
    <mergeCell ref="A48:C48"/>
    <mergeCell ref="E57:F57"/>
    <mergeCell ref="E49:F49"/>
    <mergeCell ref="E51:F51"/>
    <mergeCell ref="E50:F50"/>
    <mergeCell ref="D48:F48"/>
    <mergeCell ref="E52:F52"/>
    <mergeCell ref="K48:L48"/>
    <mergeCell ref="K49:L49"/>
    <mergeCell ref="K50:L50"/>
    <mergeCell ref="K51:L51"/>
    <mergeCell ref="E59:F59"/>
    <mergeCell ref="E54:F54"/>
    <mergeCell ref="D71:F71"/>
    <mergeCell ref="D47:F47"/>
    <mergeCell ref="D70:F70"/>
    <mergeCell ref="D69:F69"/>
    <mergeCell ref="D68:F68"/>
    <mergeCell ref="E58:F58"/>
    <mergeCell ref="E55:F55"/>
    <mergeCell ref="E56:F56"/>
    <mergeCell ref="E53:F53"/>
    <mergeCell ref="D67:F67"/>
    <mergeCell ref="K60:L60"/>
    <mergeCell ref="K56:L56"/>
    <mergeCell ref="K57:L57"/>
    <mergeCell ref="K58:L58"/>
    <mergeCell ref="K59:L59"/>
    <mergeCell ref="K52:L52"/>
    <mergeCell ref="K53:L53"/>
    <mergeCell ref="K54:L54"/>
    <mergeCell ref="K55:L55"/>
  </mergeCells>
  <phoneticPr fontId="3" type="noConversion"/>
  <conditionalFormatting sqref="H60">
    <cfRule type="cellIs" dxfId="2" priority="1" stopIfTrue="1" operator="lessThan">
      <formula>$G60</formula>
    </cfRule>
  </conditionalFormatting>
  <conditionalFormatting sqref="H50">
    <cfRule type="cellIs" dxfId="1" priority="2" stopIfTrue="1" operator="lessThanOrEqual">
      <formula>G$50</formula>
    </cfRule>
  </conditionalFormatting>
  <conditionalFormatting sqref="H51:H59">
    <cfRule type="cellIs" dxfId="0" priority="3" stopIfTrue="1" operator="lessThanOrEqual">
      <formula>G51</formula>
    </cfRule>
  </conditionalFormatting>
  <pageMargins left="0.94" right="0.28999999999999998" top="0.62" bottom="0.63" header="0.3" footer="0.31"/>
  <pageSetup scale="63" orientation="portrait"/>
  <headerFooter>
    <oddHeader xml:space="preserve">&amp;C&amp;"Arial,Bold"&amp;12Electric Vehicle (EV) and Vehicle-To-Grid (V2G) Analysis&amp;"Arial,Regular"&amp;10 </oddHeader>
    <oddFooter>&amp;LDelmarva Power (C) 9-2005 and 6-2009&amp;C&amp;F     &amp;A&amp;R&amp;D     &amp;T</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36"/>
  <sheetViews>
    <sheetView topLeftCell="A20" workbookViewId="0">
      <selection activeCell="A28" sqref="A28:XFD28"/>
    </sheetView>
  </sheetViews>
  <sheetFormatPr baseColWidth="10" defaultColWidth="9.1640625" defaultRowHeight="15" x14ac:dyDescent="0"/>
  <cols>
    <col min="1" max="1" width="11.5" style="122" bestFit="1" customWidth="1"/>
    <col min="2" max="2" width="60.5" style="122" customWidth="1"/>
    <col min="3" max="3" width="21" style="122" customWidth="1"/>
    <col min="4" max="4" width="103.5" style="122" customWidth="1"/>
    <col min="5" max="12" width="9.1640625" style="122"/>
    <col min="13" max="13" width="4.33203125" style="122" customWidth="1"/>
    <col min="14" max="16384" width="9.1640625" style="122"/>
  </cols>
  <sheetData>
    <row r="1" spans="1:4">
      <c r="A1" s="218" t="s">
        <v>178</v>
      </c>
      <c r="B1" s="218"/>
      <c r="C1" s="218"/>
      <c r="D1" s="218"/>
    </row>
    <row r="2" spans="1:4">
      <c r="A2" s="219" t="s">
        <v>179</v>
      </c>
      <c r="B2" s="219"/>
      <c r="C2" s="219"/>
      <c r="D2" s="219"/>
    </row>
    <row r="3" spans="1:4" ht="16" thickBot="1"/>
    <row r="4" spans="1:4" ht="16" thickBot="1">
      <c r="A4" s="130" t="s">
        <v>85</v>
      </c>
      <c r="B4" s="119" t="s">
        <v>73</v>
      </c>
      <c r="C4" s="120" t="s">
        <v>74</v>
      </c>
      <c r="D4" s="121" t="s">
        <v>75</v>
      </c>
    </row>
    <row r="5" spans="1:4">
      <c r="A5" s="177">
        <v>2</v>
      </c>
      <c r="B5" s="123" t="s">
        <v>76</v>
      </c>
      <c r="C5" s="124">
        <v>16000</v>
      </c>
      <c r="D5" s="125" t="s">
        <v>123</v>
      </c>
    </row>
    <row r="6" spans="1:4">
      <c r="A6" s="131">
        <v>2</v>
      </c>
      <c r="B6" s="123" t="s">
        <v>77</v>
      </c>
      <c r="C6" s="124">
        <v>39000</v>
      </c>
      <c r="D6" s="125" t="s">
        <v>124</v>
      </c>
    </row>
    <row r="7" spans="1:4">
      <c r="A7" s="131">
        <v>3</v>
      </c>
      <c r="B7" s="126" t="s">
        <v>78</v>
      </c>
      <c r="C7" s="126" t="s">
        <v>80</v>
      </c>
      <c r="D7" s="127" t="s">
        <v>125</v>
      </c>
    </row>
    <row r="8" spans="1:4">
      <c r="A8" s="131">
        <v>3</v>
      </c>
      <c r="B8" s="126" t="s">
        <v>79</v>
      </c>
      <c r="C8" s="168">
        <f>C21/0.275</f>
        <v>113.12727272727271</v>
      </c>
      <c r="D8" s="127" t="s">
        <v>126</v>
      </c>
    </row>
    <row r="9" spans="1:4">
      <c r="A9" s="131">
        <v>4</v>
      </c>
      <c r="B9" s="126" t="s">
        <v>81</v>
      </c>
      <c r="C9" s="131">
        <v>24</v>
      </c>
      <c r="D9" s="127" t="s">
        <v>86</v>
      </c>
    </row>
    <row r="10" spans="1:4">
      <c r="A10" s="131">
        <v>5</v>
      </c>
      <c r="B10" s="126" t="s">
        <v>87</v>
      </c>
      <c r="C10" s="131">
        <v>35</v>
      </c>
      <c r="D10" s="127" t="s">
        <v>88</v>
      </c>
    </row>
    <row r="11" spans="1:4">
      <c r="A11" s="131">
        <v>6</v>
      </c>
      <c r="B11" s="126" t="s">
        <v>82</v>
      </c>
      <c r="C11" s="169">
        <v>12740</v>
      </c>
      <c r="D11" s="127" t="s">
        <v>92</v>
      </c>
    </row>
    <row r="12" spans="1:4">
      <c r="A12" s="131">
        <v>7</v>
      </c>
      <c r="B12" s="126" t="s">
        <v>93</v>
      </c>
      <c r="C12" s="138">
        <v>3.5910000000000002</v>
      </c>
      <c r="D12" s="127" t="s">
        <v>128</v>
      </c>
    </row>
    <row r="13" spans="1:4">
      <c r="A13" s="131">
        <v>8</v>
      </c>
      <c r="B13" s="126" t="s">
        <v>163</v>
      </c>
      <c r="C13" s="138">
        <v>8.6999999999999994E-2</v>
      </c>
      <c r="D13" s="127" t="s">
        <v>129</v>
      </c>
    </row>
    <row r="14" spans="1:4">
      <c r="A14" s="131">
        <v>9</v>
      </c>
      <c r="B14" s="128" t="s">
        <v>96</v>
      </c>
      <c r="C14" s="138">
        <v>0.111</v>
      </c>
      <c r="D14" s="127" t="s">
        <v>130</v>
      </c>
    </row>
    <row r="15" spans="1:4">
      <c r="A15" s="131">
        <v>9</v>
      </c>
      <c r="B15" s="128" t="s">
        <v>97</v>
      </c>
      <c r="C15" s="138">
        <v>2.4E-2</v>
      </c>
      <c r="D15" s="127" t="s">
        <v>131</v>
      </c>
    </row>
    <row r="16" spans="1:4" ht="60">
      <c r="A16" s="131">
        <v>10</v>
      </c>
      <c r="B16" s="126" t="s">
        <v>83</v>
      </c>
      <c r="C16" s="142">
        <v>0.05</v>
      </c>
      <c r="D16" s="141" t="s">
        <v>165</v>
      </c>
    </row>
    <row r="17" spans="1:7" ht="30">
      <c r="A17" s="131">
        <v>11</v>
      </c>
      <c r="B17" s="126" t="s">
        <v>84</v>
      </c>
      <c r="C17" s="131">
        <v>22</v>
      </c>
      <c r="D17" s="141" t="s">
        <v>132</v>
      </c>
    </row>
    <row r="18" spans="1:7">
      <c r="A18" s="131">
        <v>12</v>
      </c>
      <c r="B18" s="126" t="s">
        <v>98</v>
      </c>
      <c r="C18" s="131">
        <v>275</v>
      </c>
      <c r="D18" s="127" t="s">
        <v>101</v>
      </c>
    </row>
    <row r="19" spans="1:7" ht="30">
      <c r="A19" s="131">
        <v>13</v>
      </c>
      <c r="B19" s="126" t="s">
        <v>0</v>
      </c>
      <c r="C19" s="131">
        <v>10</v>
      </c>
      <c r="D19" s="141" t="s">
        <v>99</v>
      </c>
    </row>
    <row r="20" spans="1:7">
      <c r="A20" s="131">
        <v>14</v>
      </c>
      <c r="B20" s="126" t="s">
        <v>133</v>
      </c>
      <c r="C20" s="131">
        <v>36.6</v>
      </c>
      <c r="D20" s="127" t="s">
        <v>100</v>
      </c>
    </row>
    <row r="21" spans="1:7">
      <c r="A21" s="131">
        <v>15</v>
      </c>
      <c r="B21" s="126" t="s">
        <v>134</v>
      </c>
      <c r="C21" s="143">
        <f>C20*0.85</f>
        <v>31.11</v>
      </c>
      <c r="D21" s="127" t="s">
        <v>127</v>
      </c>
    </row>
    <row r="22" spans="1:7" ht="33.75" customHeight="1">
      <c r="A22" s="131">
        <v>16</v>
      </c>
      <c r="B22" s="126" t="s">
        <v>135</v>
      </c>
      <c r="C22" s="183" t="s">
        <v>176</v>
      </c>
      <c r="D22" s="184" t="s">
        <v>177</v>
      </c>
    </row>
    <row r="23" spans="1:7">
      <c r="A23" s="131">
        <v>18</v>
      </c>
      <c r="B23" s="126" t="s">
        <v>160</v>
      </c>
      <c r="C23" s="171">
        <f>'Gas vs. EV'!H18</f>
        <v>265</v>
      </c>
      <c r="D23" s="127" t="s">
        <v>137</v>
      </c>
    </row>
    <row r="24" spans="1:7">
      <c r="A24" s="131">
        <v>19</v>
      </c>
      <c r="B24" s="126" t="s">
        <v>139</v>
      </c>
      <c r="C24" s="170">
        <f>'Gas vs. EV'!H19</f>
        <v>9699</v>
      </c>
      <c r="D24" s="127"/>
    </row>
    <row r="25" spans="1:7">
      <c r="A25" s="131">
        <v>20</v>
      </c>
      <c r="B25" s="126" t="s">
        <v>136</v>
      </c>
      <c r="C25" s="172">
        <v>35.56</v>
      </c>
      <c r="D25" s="127" t="s">
        <v>138</v>
      </c>
    </row>
    <row r="26" spans="1:7" ht="45">
      <c r="A26" s="131">
        <v>22</v>
      </c>
      <c r="B26" s="185" t="s">
        <v>180</v>
      </c>
      <c r="C26" s="186">
        <v>0.33</v>
      </c>
      <c r="D26" s="184" t="s">
        <v>181</v>
      </c>
    </row>
    <row r="27" spans="1:7">
      <c r="A27" s="131">
        <v>23</v>
      </c>
      <c r="B27" s="126" t="s">
        <v>141</v>
      </c>
      <c r="C27" s="171">
        <f>'Gas vs. EV'!H23</f>
        <v>4569.07</v>
      </c>
      <c r="D27" s="127" t="s">
        <v>140</v>
      </c>
    </row>
    <row r="28" spans="1:7" ht="63" customHeight="1">
      <c r="A28" s="131">
        <v>30</v>
      </c>
      <c r="B28" s="126" t="s">
        <v>142</v>
      </c>
      <c r="C28" s="143">
        <f>'Gas vs. EV'!G31</f>
        <v>6.5387417218543051</v>
      </c>
      <c r="D28" s="141" t="s">
        <v>144</v>
      </c>
    </row>
    <row r="29" spans="1:7" ht="90">
      <c r="A29" s="131">
        <v>30</v>
      </c>
      <c r="B29" s="126" t="s">
        <v>143</v>
      </c>
      <c r="C29" s="143">
        <f>'Gas vs. EV'!H31</f>
        <v>1.167130242825607</v>
      </c>
      <c r="D29" s="141" t="s">
        <v>145</v>
      </c>
      <c r="E29"/>
      <c r="F29"/>
      <c r="G29"/>
    </row>
    <row r="30" spans="1:7" ht="15" customHeight="1"/>
    <row r="31" spans="1:7" ht="15" customHeight="1">
      <c r="B31" s="44"/>
      <c r="C31"/>
      <c r="D31"/>
      <c r="E31"/>
    </row>
    <row r="32" spans="1:7" ht="15" customHeight="1">
      <c r="B32" s="178"/>
      <c r="C32" s="25"/>
      <c r="D32" s="25"/>
      <c r="E32" s="25"/>
    </row>
    <row r="33" spans="2:5">
      <c r="B33" s="179"/>
      <c r="C33" s="25"/>
      <c r="D33" s="25"/>
      <c r="E33" s="25"/>
    </row>
    <row r="34" spans="2:5">
      <c r="B34" s="179"/>
      <c r="C34" s="25"/>
      <c r="D34" s="25"/>
      <c r="E34" s="25"/>
    </row>
    <row r="35" spans="2:5">
      <c r="B35" s="180"/>
      <c r="C35" s="25"/>
      <c r="D35" s="25"/>
      <c r="E35" s="25"/>
    </row>
    <row r="36" spans="2:5">
      <c r="B36"/>
      <c r="C36"/>
      <c r="D36"/>
      <c r="E36"/>
    </row>
  </sheetData>
  <mergeCells count="2">
    <mergeCell ref="A1:D1"/>
    <mergeCell ref="A2:D2"/>
  </mergeCells>
  <phoneticPr fontId="3" type="noConversion"/>
  <pageMargins left="0.75" right="0.75" top="0.59" bottom="0.64" header="0.28999999999999998" footer="0.27"/>
  <pageSetup scale="65" orientation="landscape"/>
  <headerFooter>
    <oddFooter>&amp;LDelmarva Power (C) 9-2005, 6-2009&amp;C&amp;F     &amp;A&amp;R&amp;D     &amp;T</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Gas vs. EV</vt:lpstr>
      <vt:lpstr>Baseline Data</vt:lpstr>
    </vt:vector>
  </TitlesOfParts>
  <Company>Conectiv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lbeck</dc:creator>
  <cp:lastModifiedBy>Willett Kempton</cp:lastModifiedBy>
  <cp:lastPrinted>2009-07-08T20:14:13Z</cp:lastPrinted>
  <dcterms:created xsi:type="dcterms:W3CDTF">2005-10-08T21:21:44Z</dcterms:created>
  <dcterms:modified xsi:type="dcterms:W3CDTF">2013-10-24T15:34:53Z</dcterms:modified>
</cp:coreProperties>
</file>